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915" tabRatio="446" activeTab="0"/>
  </bookViews>
  <sheets>
    <sheet name="Приложение 1" sheetId="1" r:id="rId1"/>
  </sheets>
  <definedNames>
    <definedName name="_xlnm.Print_Titles" localSheetId="0">'Приложение 1'!$16:$18</definedName>
    <definedName name="_xlnm.Print_Area" localSheetId="0">'Приложение 1'!$A$1:$AK$325</definedName>
  </definedNames>
  <calcPr fullCalcOnLoad="1"/>
</workbook>
</file>

<file path=xl/sharedStrings.xml><?xml version="1.0" encoding="utf-8"?>
<sst xmlns="http://schemas.openxmlformats.org/spreadsheetml/2006/main" count="677" uniqueCount="347">
  <si>
    <r>
      <rPr>
        <b/>
        <sz val="11"/>
        <rFont val="Times New Roman"/>
        <family val="1"/>
      </rPr>
      <t>Показатель 4 цели программы 1</t>
    </r>
    <r>
      <rPr>
        <sz val="11"/>
        <rFont val="Times New Roman"/>
        <family val="1"/>
      </rPr>
      <t xml:space="preserve"> "Доля детей с ограниченными возможностями здоровья и детей-инвалидов, которым созданы условия для получения качественного общего образования (в том числе с использованием дистанционных образовательных технологий), в общей численности детей с ограниченными возможностями здоровья и детей-инвалидов школьного возраста"</t>
    </r>
  </si>
  <si>
    <r>
      <rPr>
        <b/>
        <sz val="11"/>
        <rFont val="Times New Roman"/>
        <family val="1"/>
      </rPr>
      <t>Показатель 1 задачи 1 подпрограммы 2</t>
    </r>
    <r>
      <rPr>
        <sz val="11"/>
        <rFont val="Times New Roman"/>
        <family val="1"/>
      </rPr>
      <t xml:space="preserve"> "Доля воспитанников, обучающихся по ФГОС, в общей численности детей, посещающих дошкольные образовательные организации (учреждения)"</t>
    </r>
  </si>
  <si>
    <r>
      <rPr>
        <b/>
        <sz val="11"/>
        <rFont val="Times New Roman"/>
        <family val="1"/>
      </rPr>
      <t>Мероприятие 1 задачи 3 подпрограммы 2</t>
    </r>
    <r>
      <rPr>
        <sz val="11"/>
        <rFont val="Times New Roman"/>
        <family val="1"/>
      </rPr>
      <t xml:space="preserve"> "Предоставление населению в электронном виде услуг по приему заявлений, постановке на учет и зачисление детей в образовательные организации (учреждения), реализубщие основную общеобразовательную программу дошкольного образования (Электронный детский сад)"</t>
    </r>
  </si>
  <si>
    <r>
      <rPr>
        <b/>
        <sz val="11"/>
        <rFont val="Times New Roman"/>
        <family val="1"/>
      </rPr>
      <t xml:space="preserve">Показатель 1 мероприятия 1 задачи 3 подпрограммы 2 </t>
    </r>
    <r>
      <rPr>
        <sz val="11"/>
        <rFont val="Times New Roman"/>
        <family val="1"/>
      </rPr>
      <t>"Количество детей, стоящих на учёте для зачисления в муниципальные дошкольные  образовательные организации (учреждения)"</t>
    </r>
  </si>
  <si>
    <r>
      <rPr>
        <b/>
        <sz val="11"/>
        <rFont val="Times New Roman"/>
        <family val="1"/>
      </rPr>
      <t>Показатель 2 мероприятия 1 задачи 3 подпрограммы 2</t>
    </r>
    <r>
      <rPr>
        <sz val="11"/>
        <rFont val="Times New Roman"/>
        <family val="1"/>
      </rPr>
      <t xml:space="preserve"> "Количество детей,  зачисленных в муниципальные дошкольные  образовательные организации (учреждения)"</t>
    </r>
  </si>
  <si>
    <t>Х</t>
  </si>
  <si>
    <t>в том числе за счёт средств депутатов</t>
  </si>
  <si>
    <r>
      <rPr>
        <b/>
        <sz val="11"/>
        <rFont val="Times New Roman"/>
        <family val="1"/>
      </rPr>
      <t>Показатель 5 задачи 5 подпрограммы 1</t>
    </r>
    <r>
      <rPr>
        <sz val="11"/>
        <rFont val="Times New Roman"/>
        <family val="1"/>
      </rPr>
      <t xml:space="preserve"> "Доля  выпускников, принявших участие в предметных олимпиадах, конкурсах, соревнованиях"</t>
    </r>
  </si>
  <si>
    <r>
      <rPr>
        <b/>
        <sz val="11"/>
        <rFont val="Times New Roman"/>
        <family val="1"/>
      </rPr>
      <t>Показатель 6 задачи 5 подпрограммы 1</t>
    </r>
    <r>
      <rPr>
        <sz val="11"/>
        <rFont val="Times New Roman"/>
        <family val="1"/>
      </rPr>
      <t xml:space="preserve"> "Доля педагогов, принявших участие в конкурсах профессионального мастерства"</t>
    </r>
  </si>
  <si>
    <r>
      <rPr>
        <b/>
        <sz val="11"/>
        <rFont val="Times New Roman"/>
        <family val="1"/>
      </rPr>
      <t>Показатель 6 цели программы 1</t>
    </r>
    <r>
      <rPr>
        <sz val="11"/>
        <rFont val="Times New Roman"/>
        <family val="1"/>
      </rPr>
      <t xml:space="preserve"> "Доля руководителей и педагогов образовательных организаций (учреждений), прошедших повышение квалификации"</t>
    </r>
  </si>
  <si>
    <r>
      <rPr>
        <b/>
        <sz val="11"/>
        <rFont val="Times New Roman"/>
        <family val="1"/>
      </rPr>
      <t>Показатель 3 задачи 1 подпрограммы 2</t>
    </r>
    <r>
      <rPr>
        <sz val="11"/>
        <rFont val="Times New Roman"/>
        <family val="1"/>
      </rPr>
      <t xml:space="preserve"> "Количество введённых мест в дошкольных образовательных организациях (учреждениях)"</t>
    </r>
  </si>
  <si>
    <r>
      <rPr>
        <b/>
        <sz val="11"/>
        <rFont val="Times New Roman"/>
        <family val="1"/>
      </rPr>
      <t>Показатель 4 задачи 1 подпрограммы 2</t>
    </r>
    <r>
      <rPr>
        <sz val="11"/>
        <rFont val="Times New Roman"/>
        <family val="1"/>
      </rPr>
      <t xml:space="preserve"> "Количество воспитанников в расчете на одного воспитателя ДОУ (город/ село)"</t>
    </r>
  </si>
  <si>
    <r>
      <rPr>
        <b/>
        <sz val="11"/>
        <rFont val="Times New Roman"/>
        <family val="1"/>
      </rPr>
      <t>Показатель 5 задачи 1 подпрограммы 2</t>
    </r>
    <r>
      <rPr>
        <sz val="11"/>
        <rFont val="Times New Roman"/>
        <family val="1"/>
      </rPr>
      <t xml:space="preserve"> "Доля дошкольных образовательных организаций (учреждений) полностью укомплектованных педагогическими кадрами"</t>
    </r>
  </si>
  <si>
    <r>
      <rPr>
        <b/>
        <sz val="11"/>
        <rFont val="Times New Roman"/>
        <family val="1"/>
      </rPr>
      <t>Показатель 1 административного мероприятия 1 задачи 2 подпрограммы 2</t>
    </r>
    <r>
      <rPr>
        <sz val="11"/>
        <rFont val="Times New Roman"/>
        <family val="1"/>
      </rPr>
      <t xml:space="preserve"> "Количество проведённых опросов" </t>
    </r>
  </si>
  <si>
    <r>
      <t xml:space="preserve">Показатель 1 мероприятия 4 подпрограммы 2 </t>
    </r>
    <r>
      <rPr>
        <sz val="11"/>
        <rFont val="Times New Roman"/>
        <family val="1"/>
      </rPr>
      <t>"Количество дополнительно введённых мест в образовательных организациях (учреждениях), реализующих образовательные программы дошкольного образования"</t>
    </r>
  </si>
  <si>
    <r>
      <rPr>
        <b/>
        <sz val="11"/>
        <rFont val="Times New Roman"/>
        <family val="1"/>
      </rPr>
      <t xml:space="preserve"> Мероприятие 1 задачи 1 подпрограммы 3</t>
    </r>
    <r>
      <rPr>
        <sz val="11"/>
        <rFont val="Times New Roman"/>
        <family val="1"/>
      </rPr>
      <t xml:space="preserve"> "Материально - техническое обеспечение пожарной безопасности в образовательных организациях (учреждениях) общего образования"</t>
    </r>
  </si>
  <si>
    <r>
      <rPr>
        <b/>
        <sz val="11"/>
        <rFont val="Times New Roman"/>
        <family val="1"/>
      </rPr>
      <t xml:space="preserve"> Показатель 1 мероприятия 1 задачи 1 подпрограммы 3</t>
    </r>
    <r>
      <rPr>
        <sz val="11"/>
        <rFont val="Times New Roman"/>
        <family val="1"/>
      </rPr>
      <t xml:space="preserve"> "Количество образовательных организаций (учреждений) общего образования, в которых проведены мероприятия по материально-техническому обеспечению пожарной безопасности"</t>
    </r>
  </si>
  <si>
    <r>
      <rPr>
        <b/>
        <sz val="11"/>
        <rFont val="Times New Roman"/>
        <family val="1"/>
      </rPr>
      <t xml:space="preserve">Мероприятие 2 задачи 1 подпрограммы 3 </t>
    </r>
    <r>
      <rPr>
        <sz val="11"/>
        <rFont val="Times New Roman"/>
        <family val="1"/>
      </rPr>
      <t>"Материально - техническое обеспечение пожарной безопасности в образовательных организациях (учреждениях) дошкольного образования"</t>
    </r>
  </si>
  <si>
    <r>
      <rPr>
        <b/>
        <sz val="11"/>
        <rFont val="Times New Roman"/>
        <family val="1"/>
      </rPr>
      <t>Мероприятие 3 задачи 1 подпрограммы 3</t>
    </r>
    <r>
      <rPr>
        <sz val="11"/>
        <rFont val="Times New Roman"/>
        <family val="1"/>
      </rPr>
      <t xml:space="preserve"> "Материально - техническое обеспечение пожарной безопасности в образовательных организациях (учреждениях) дополнительного образования</t>
    </r>
  </si>
  <si>
    <r>
      <rPr>
        <b/>
        <sz val="11"/>
        <rFont val="Times New Roman"/>
        <family val="1"/>
      </rPr>
      <t>Мероприятие 1 задачи 3 подпрограммы 3</t>
    </r>
    <r>
      <rPr>
        <sz val="11"/>
        <rFont val="Times New Roman"/>
        <family val="1"/>
      </rPr>
      <t xml:space="preserve"> "Установка и обслуживание водоочистного оборудования в образовательных организациях (учреждениях) общего образования"</t>
    </r>
  </si>
  <si>
    <r>
      <rPr>
        <b/>
        <sz val="11"/>
        <rFont val="Times New Roman"/>
        <family val="1"/>
      </rPr>
      <t>Мероприятие 2 задачи 3 подпрограммы 3</t>
    </r>
    <r>
      <rPr>
        <sz val="11"/>
        <rFont val="Times New Roman"/>
        <family val="1"/>
      </rPr>
      <t xml:space="preserve"> "Установка и обслуживание водоочистного оборудования в образовательных организациях (учреждениях) дошкольного образования""</t>
    </r>
  </si>
  <si>
    <r>
      <rPr>
        <b/>
        <sz val="11"/>
        <rFont val="Times New Roman"/>
        <family val="1"/>
      </rPr>
      <t>Мероприятие 1 задачи 4 подпрограммы 3</t>
    </r>
    <r>
      <rPr>
        <sz val="11"/>
        <rFont val="Times New Roman"/>
        <family val="1"/>
      </rPr>
      <t xml:space="preserve"> "Проведение аттестации рабочих мест в образовательных организациях (учреждениях) дошкольного образования"</t>
    </r>
  </si>
  <si>
    <r>
      <rPr>
        <b/>
        <sz val="11"/>
        <rFont val="Times New Roman"/>
        <family val="1"/>
      </rPr>
      <t>Показатель 1 мероприятия 1 задачи 4 подпрограммы 3</t>
    </r>
    <r>
      <rPr>
        <sz val="11"/>
        <rFont val="Times New Roman"/>
        <family val="1"/>
      </rPr>
      <t xml:space="preserve"> "Количество образовательных организаций(учреждений) дошкольного  образования, в которых проведена аттестация рабочих мест"</t>
    </r>
  </si>
  <si>
    <r>
      <rPr>
        <b/>
        <sz val="11"/>
        <rFont val="Times New Roman"/>
        <family val="1"/>
      </rPr>
      <t>Мероприятие 2 задачи 4 подпрограммы 3</t>
    </r>
    <r>
      <rPr>
        <sz val="11"/>
        <rFont val="Times New Roman"/>
        <family val="1"/>
      </rPr>
      <t xml:space="preserve"> "Проведение аттестации рабочих мест в образовательных организациях (учреждениях) общего образования"</t>
    </r>
  </si>
  <si>
    <r>
      <rPr>
        <b/>
        <sz val="11"/>
        <rFont val="Times New Roman"/>
        <family val="1"/>
      </rPr>
      <t xml:space="preserve">Показатель 1 мероприятия 1 задачи 2 подпрограммы 4 </t>
    </r>
    <r>
      <rPr>
        <sz val="11"/>
        <rFont val="Times New Roman"/>
        <family val="1"/>
      </rPr>
      <t>"Количество детей, обеспеченных подвозом в летние лагеря, и к местам проведения экскурсий"</t>
    </r>
  </si>
  <si>
    <t>чел./%</t>
  </si>
  <si>
    <r>
      <t xml:space="preserve">Показатель 1 мероприятия 2 задачи 2 подпрограммы 4 </t>
    </r>
    <r>
      <rPr>
        <sz val="11"/>
        <rFont val="Times New Roman"/>
        <family val="1"/>
      </rPr>
      <t>"Количество детей в лагерях, обеспеченных страхованием/ доля персонала лагерей, прошедших медицинские осмотры"</t>
    </r>
  </si>
  <si>
    <r>
      <rPr>
        <b/>
        <sz val="11"/>
        <rFont val="Times New Roman"/>
        <family val="1"/>
      </rPr>
      <t>Мероприятие 1 задачи 5 подпрограммы 1</t>
    </r>
    <r>
      <rPr>
        <sz val="11"/>
        <rFont val="Times New Roman"/>
        <family val="1"/>
      </rPr>
      <t xml:space="preserve"> "Проведение мероприятий для детей и педагогов"</t>
    </r>
  </si>
  <si>
    <r>
      <rPr>
        <b/>
        <sz val="11"/>
        <rFont val="Times New Roman"/>
        <family val="1"/>
      </rPr>
      <t>Показатель1 мероприятия 1 задачи 5 подпрограммы 1</t>
    </r>
    <r>
      <rPr>
        <sz val="11"/>
        <rFont val="Times New Roman"/>
        <family val="1"/>
      </rPr>
      <t xml:space="preserve"> "Количество проведённых мероприятий для педагогов"</t>
    </r>
  </si>
  <si>
    <r>
      <rPr>
        <b/>
        <sz val="11"/>
        <rFont val="Times New Roman"/>
        <family val="1"/>
      </rPr>
      <t>Показатель2 мероприятия 1 задачи 5 подпрограммы 1 "</t>
    </r>
    <r>
      <rPr>
        <sz val="11"/>
        <rFont val="Times New Roman"/>
        <family val="1"/>
      </rPr>
      <t>Количество проведённых мероприятий для детей"</t>
    </r>
  </si>
  <si>
    <r>
      <rPr>
        <b/>
        <sz val="11"/>
        <rFont val="Times New Roman"/>
        <family val="1"/>
      </rPr>
      <t>Показатель3 мероприятия 1 задачи 5 подпрограммы 1</t>
    </r>
    <r>
      <rPr>
        <sz val="11"/>
        <rFont val="Times New Roman"/>
        <family val="1"/>
      </rPr>
      <t xml:space="preserve"> "Количество педагогов, принявших участие в мероприятиях"</t>
    </r>
  </si>
  <si>
    <r>
      <rPr>
        <b/>
        <sz val="11"/>
        <rFont val="Times New Roman"/>
        <family val="1"/>
      </rPr>
      <t>Показатель 4 мероприятия 1 задачи 5 подпрограммы 1</t>
    </r>
    <r>
      <rPr>
        <sz val="11"/>
        <rFont val="Times New Roman"/>
        <family val="1"/>
      </rPr>
      <t xml:space="preserve"> "Количество детей, принявших участие в мероприятиях"</t>
    </r>
  </si>
  <si>
    <r>
      <rPr>
        <b/>
        <sz val="11"/>
        <rFont val="Times New Roman"/>
        <family val="1"/>
      </rPr>
      <t>Мероприятие 2  Задачи 5  подпрограммы 1</t>
    </r>
    <r>
      <rPr>
        <sz val="11"/>
        <rFont val="Times New Roman"/>
        <family val="1"/>
      </rPr>
      <t xml:space="preserve"> "Обеспечение курсовой подготовки руководителей и педагогов образовательных организаций (учреждений),включая учреждения дополнительного образования  "</t>
    </r>
  </si>
  <si>
    <t>ед</t>
  </si>
  <si>
    <t>Единица  измерения</t>
  </si>
  <si>
    <t>значение</t>
  </si>
  <si>
    <t>год  достижения</t>
  </si>
  <si>
    <t>Принятые обозначения и сокращения:</t>
  </si>
  <si>
    <t xml:space="preserve">Коды бюджетной классификации </t>
  </si>
  <si>
    <t>Целевое (суммарное) значение показателя</t>
  </si>
  <si>
    <t xml:space="preserve">Программа , всего </t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</si>
  <si>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</si>
  <si>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</si>
  <si>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Годы реализации программы</t>
  </si>
  <si>
    <t xml:space="preserve">код администратора  программы </t>
  </si>
  <si>
    <t>раздел</t>
  </si>
  <si>
    <t>подраздел</t>
  </si>
  <si>
    <t xml:space="preserve">Программная  часть </t>
  </si>
  <si>
    <t>(наименование муниципальной  программы)</t>
  </si>
  <si>
    <r>
      <rPr>
        <b/>
        <sz val="11"/>
        <rFont val="Times New Roman"/>
        <family val="1"/>
      </rPr>
      <t xml:space="preserve">Показатель 1 мероприятия 3 задачи 1 подпрограммы 3 </t>
    </r>
    <r>
      <rPr>
        <sz val="11"/>
        <rFont val="Times New Roman"/>
        <family val="1"/>
      </rPr>
      <t>"Количество образовательных организаций (учреждений) дополнительного  образования, в которых проведены мероприятия по материально-техническому обеспечению пожарной безопасности"</t>
    </r>
  </si>
  <si>
    <r>
      <rPr>
        <b/>
        <sz val="11"/>
        <rFont val="Times New Roman"/>
        <family val="1"/>
      </rPr>
      <t>Мероприятие 1 задачи 2 подпрограммы 3</t>
    </r>
    <r>
      <rPr>
        <sz val="11"/>
        <rFont val="Times New Roman"/>
        <family val="1"/>
      </rPr>
      <t xml:space="preserve"> "Материально техническое обеспечение антитеррористической безопасности в образовательных организациях(учреждениях)дополнительного образования</t>
    </r>
  </si>
  <si>
    <r>
      <rPr>
        <b/>
        <sz val="11"/>
        <rFont val="Times New Roman"/>
        <family val="1"/>
      </rPr>
      <t>Показатель 1 мероприятия 1 задачи 2 подпрограммы 3</t>
    </r>
    <r>
      <rPr>
        <sz val="11"/>
        <rFont val="Times New Roman"/>
        <family val="1"/>
      </rPr>
      <t xml:space="preserve"> "Количество образовательных организаций(учреждений)дополнительного образования, оборудованных системами видеонаблюдения"</t>
    </r>
  </si>
  <si>
    <r>
      <t xml:space="preserve">Мероприятие 2 задачи 2 подпрограммы 3 </t>
    </r>
    <r>
      <rPr>
        <sz val="11"/>
        <rFont val="Times New Roman"/>
        <family val="1"/>
      </rPr>
      <t>"Материально техническое обеспечение антитеррористической безопасности в образовательных организациях(учреждениях) общего образования"</t>
    </r>
  </si>
  <si>
    <r>
      <rPr>
        <b/>
        <sz val="11"/>
        <rFont val="Times New Roman"/>
        <family val="1"/>
      </rPr>
      <t xml:space="preserve"> Мероприятие 3 задачи 2 подпрограммы 3 </t>
    </r>
    <r>
      <rPr>
        <sz val="11"/>
        <rFont val="Times New Roman"/>
        <family val="1"/>
      </rPr>
      <t>"Материально техническое обеспечение антитеррористической безопасности в образовательных организациях(учреждениях)дошкольного образования</t>
    </r>
  </si>
  <si>
    <r>
      <rPr>
        <b/>
        <sz val="11"/>
        <rFont val="Times New Roman"/>
        <family val="1"/>
      </rPr>
      <t>Показатель 1 мероприятия 3 задачи 2 подпрограммы 3</t>
    </r>
    <r>
      <rPr>
        <sz val="11"/>
        <rFont val="Times New Roman"/>
        <family val="1"/>
      </rPr>
      <t xml:space="preserve"> "Количество образовательных организаций(учреждений) дошкольного  образования, оборудованных системами видеонаблюдения"</t>
    </r>
  </si>
  <si>
    <t>код целевой статьи расхода бюджета</t>
  </si>
  <si>
    <t>программа</t>
  </si>
  <si>
    <t>подпрограмма</t>
  </si>
  <si>
    <t>задача в рамках подпрограммы</t>
  </si>
  <si>
    <t>направление расходов</t>
  </si>
  <si>
    <t>цель программы</t>
  </si>
  <si>
    <t>задача подпрограммы</t>
  </si>
  <si>
    <t>мероприятие (подпрограммы или административное)</t>
  </si>
  <si>
    <t>номер показателя</t>
  </si>
  <si>
    <t>4.Мероприятие -мероприятие подпрограммы или административное мероприятие подпрограммы;</t>
  </si>
  <si>
    <t>3. Задача- задача подпрограммы;</t>
  </si>
  <si>
    <t>2. Подпрограмма  - подпрограмма муниципальной  программы  муниципального образовавания Тверской области ;</t>
  </si>
  <si>
    <t>1.Программа - муниципальная  программа муниципального образования Тверской области;</t>
  </si>
  <si>
    <t>5. Показатель- показатель цели программы (показатель мероприятия подпрограммы,показатель административного мероприятия подпрограммы);</t>
  </si>
  <si>
    <r>
      <rPr>
        <b/>
        <sz val="11"/>
        <rFont val="Times New Roman"/>
        <family val="1"/>
      </rPr>
      <t>Цель программы</t>
    </r>
    <r>
      <rPr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  "Обеспечение позитивной социализации и учебной успешности каждого ребёнка с учётом изменения культурной, социальной и технологической среды"</t>
    </r>
  </si>
  <si>
    <r>
      <rPr>
        <b/>
        <sz val="11"/>
        <rFont val="Times New Roman"/>
        <family val="1"/>
      </rPr>
      <t xml:space="preserve">Показатель 1 мероприятия 2 задачи 1 подпрограммы 3 </t>
    </r>
    <r>
      <rPr>
        <sz val="11"/>
        <rFont val="Times New Roman"/>
        <family val="1"/>
      </rPr>
      <t>"Количество образовательных организаций (учреждений) дошкольного образования, в которых проведены мероприятия по материально-техническому обеспечению пожарной безопасности"</t>
    </r>
  </si>
  <si>
    <t>Б</t>
  </si>
  <si>
    <t>Обеспечение деятельности образовательных организаций (учреждений), реализующих программы начального общего, основного общего, среднего общего образования  по оказанию услуг качественного образования в рамках выполнения муниципального задания (за исключением образовательного процесса)</t>
  </si>
  <si>
    <t>Г</t>
  </si>
  <si>
    <t>В</t>
  </si>
  <si>
    <t>S</t>
  </si>
  <si>
    <r>
      <rPr>
        <b/>
        <sz val="11"/>
        <rFont val="Times New Roman"/>
        <family val="1"/>
      </rPr>
      <t>Показатель 1  задачи 1 подпрограммы 1</t>
    </r>
    <r>
      <rPr>
        <sz val="11"/>
        <rFont val="Times New Roman"/>
        <family val="1"/>
      </rPr>
      <t xml:space="preserve"> "Охват детей программами общего образования в общеобразовательных учреждениях"</t>
    </r>
  </si>
  <si>
    <r>
      <t>З</t>
    </r>
    <r>
      <rPr>
        <b/>
        <sz val="11"/>
        <rFont val="Times New Roman"/>
        <family val="1"/>
      </rPr>
      <t>адача 4 подпрограммы 1</t>
    </r>
    <r>
      <rPr>
        <sz val="11"/>
        <rFont val="Times New Roman"/>
        <family val="1"/>
      </rPr>
      <t xml:space="preserve"> "Обеспечение комплексной деятельности по сохранению и укреплению здоровья школьников, формированию основ здорового образа жизни"</t>
    </r>
  </si>
  <si>
    <r>
      <rPr>
        <b/>
        <sz val="11"/>
        <rFont val="Times New Roman"/>
        <family val="1"/>
      </rPr>
      <t>Показатель 3 задачи 2 подпрограммы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"Охват детей со специальными потребностями образовательными услугами дошкольного образования"</t>
    </r>
  </si>
  <si>
    <r>
      <rPr>
        <b/>
        <sz val="11"/>
        <rFont val="Times New Roman"/>
        <family val="1"/>
      </rPr>
      <t xml:space="preserve">Показатель 4 задачи 2 подпрограммы </t>
    </r>
    <r>
      <rPr>
        <sz val="11"/>
        <rFont val="Times New Roman"/>
        <family val="1"/>
      </rPr>
      <t>2 "Уровень удовлетворенности населения качеством предоставляемых образовательных услуг (анкетирование, соцопросы)"</t>
    </r>
  </si>
  <si>
    <r>
      <rPr>
        <b/>
        <sz val="11"/>
        <rFont val="Times New Roman"/>
        <family val="1"/>
      </rPr>
      <t>Административное мероприятие 1 задачи 2 подпрограммы 2</t>
    </r>
    <r>
      <rPr>
        <sz val="11"/>
        <rFont val="Times New Roman"/>
        <family val="1"/>
      </rPr>
      <t xml:space="preserve"> "Проведение анкетирования и соцопросов граждан с целью выявления уровня удовлетворенности качеством услуг дошкольного образования"</t>
    </r>
  </si>
  <si>
    <r>
      <rPr>
        <b/>
        <sz val="11"/>
        <rFont val="Times New Roman"/>
        <family val="1"/>
      </rPr>
      <t>Мероприятие 2 задачи 2 подпрограммы 2</t>
    </r>
    <r>
      <rPr>
        <sz val="11"/>
        <rFont val="Times New Roman"/>
        <family val="1"/>
      </rPr>
      <t xml:space="preserve"> "Компенсация части родительской платы за содержание ребенка (присмотр и уход за ребенком) в организациях, реализующих основную общеобразовательную программу дошкольного образования"</t>
    </r>
  </si>
  <si>
    <r>
      <t>З</t>
    </r>
    <r>
      <rPr>
        <b/>
        <sz val="11"/>
        <rFont val="Times New Roman"/>
        <family val="1"/>
      </rPr>
      <t>адача 1 подпрограммы 1</t>
    </r>
    <r>
      <rPr>
        <sz val="11"/>
        <rFont val="Times New Roman"/>
        <family val="1"/>
      </rPr>
      <t xml:space="preserve"> "Удовлетворение потребностей населения в получении услуг качественного образования"</t>
    </r>
  </si>
  <si>
    <r>
      <rPr>
        <b/>
        <sz val="11"/>
        <rFont val="Times New Roman"/>
        <family val="1"/>
      </rPr>
      <t>Мероприятие 3 задачи 2 подпрограммы 1</t>
    </r>
    <r>
      <rPr>
        <sz val="11"/>
        <rFont val="Times New Roman"/>
        <family val="1"/>
      </rPr>
      <t xml:space="preserve"> "Обеспечение деятельности подведомственных организаций (учреждений) по обслуживанию сетей коммунального хозяйства"</t>
    </r>
  </si>
  <si>
    <r>
      <t>З</t>
    </r>
    <r>
      <rPr>
        <b/>
        <sz val="11"/>
        <rFont val="Times New Roman"/>
        <family val="1"/>
      </rPr>
      <t>адача 5 подпрограммы 1</t>
    </r>
    <r>
      <rPr>
        <sz val="11"/>
        <rFont val="Times New Roman"/>
        <family val="1"/>
      </rPr>
      <t xml:space="preserve"> "Создание современной системы оценки индивидуальных образовательных достижений обучающихся и профессиональных достижений педагогов"</t>
    </r>
  </si>
  <si>
    <r>
      <t>З</t>
    </r>
    <r>
      <rPr>
        <b/>
        <sz val="11"/>
        <rFont val="Times New Roman"/>
        <family val="1"/>
      </rPr>
      <t>адача 1 подпрограммы 4</t>
    </r>
    <r>
      <rPr>
        <sz val="11"/>
        <rFont val="Times New Roman"/>
        <family val="1"/>
      </rPr>
      <t xml:space="preserve"> "Совершенствование работы по организации занятости,  отдыха детей и подростков, создания оптимальных условий для проведения оздоровительной компании"</t>
    </r>
  </si>
  <si>
    <r>
      <t xml:space="preserve">Задача 2 подпрограммы 4 </t>
    </r>
    <r>
      <rPr>
        <sz val="11"/>
        <rFont val="Times New Roman"/>
        <family val="1"/>
      </rPr>
      <t>" Обеспечение комплексной деятельности по сохранению и укреплению здоровья школьников, формированию основ безопасного, здорового образа жизни"</t>
    </r>
  </si>
  <si>
    <r>
      <rPr>
        <b/>
        <sz val="11"/>
        <rFont val="Times New Roman"/>
        <family val="1"/>
      </rPr>
      <t>Мероприятие 1 задачи 2 подпрограммы 4</t>
    </r>
    <r>
      <rPr>
        <sz val="11"/>
        <rFont val="Times New Roman"/>
        <family val="1"/>
      </rPr>
      <t xml:space="preserve"> "Организация подвоза детей в летние лагеря и к местам проведения экскурсий"</t>
    </r>
  </si>
  <si>
    <r>
      <rPr>
        <b/>
        <sz val="11"/>
        <rFont val="Times New Roman"/>
        <family val="1"/>
      </rPr>
      <t>Мероприятие 2 задачи 2 подпрограммы 4</t>
    </r>
    <r>
      <rPr>
        <sz val="11"/>
        <rFont val="Times New Roman"/>
        <family val="1"/>
      </rPr>
      <t xml:space="preserve"> "Организация проведения страхования детей в лагерях и медицинских осмотров персонала"</t>
    </r>
  </si>
  <si>
    <r>
      <rPr>
        <b/>
        <sz val="11"/>
        <rFont val="Times New Roman"/>
        <family val="1"/>
      </rPr>
      <t>Мероприятие 3 задачи 2 подпрограммы 4</t>
    </r>
    <r>
      <rPr>
        <sz val="11"/>
        <rFont val="Times New Roman"/>
        <family val="1"/>
      </rPr>
      <t xml:space="preserve"> "Проведение мероприятий с учащимися и подростками по профилактике безнадзорности и правонарушений"</t>
    </r>
  </si>
  <si>
    <r>
      <rPr>
        <b/>
        <sz val="11"/>
        <rFont val="Times New Roman"/>
        <family val="1"/>
      </rPr>
      <t>Подпрограмма 5</t>
    </r>
    <r>
      <rPr>
        <sz val="11"/>
        <rFont val="Times New Roman"/>
        <family val="1"/>
      </rPr>
      <t xml:space="preserve"> "Одарённые дети Селигера"</t>
    </r>
  </si>
  <si>
    <r>
      <t>З</t>
    </r>
    <r>
      <rPr>
        <b/>
        <sz val="11"/>
        <rFont val="Times New Roman"/>
        <family val="1"/>
      </rPr>
      <t>адача 1 подпрограммы 5</t>
    </r>
    <r>
      <rPr>
        <sz val="11"/>
        <rFont val="Times New Roman"/>
        <family val="1"/>
      </rPr>
      <t xml:space="preserve"> "Выявление и сопровождение одаренных детей для их специальной поддержки"</t>
    </r>
  </si>
  <si>
    <r>
      <t>З</t>
    </r>
    <r>
      <rPr>
        <b/>
        <sz val="11"/>
        <rFont val="Times New Roman"/>
        <family val="1"/>
      </rPr>
      <t>адача 2 подпрограммы 5</t>
    </r>
    <r>
      <rPr>
        <sz val="11"/>
        <rFont val="Times New Roman"/>
        <family val="1"/>
      </rPr>
      <t xml:space="preserve"> "Стимулирование творческой активности участников образовательного процесса"</t>
    </r>
  </si>
  <si>
    <t xml:space="preserve"> рублей</t>
  </si>
  <si>
    <t>%</t>
  </si>
  <si>
    <t>ед.</t>
  </si>
  <si>
    <t>рублей</t>
  </si>
  <si>
    <r>
      <t>З</t>
    </r>
    <r>
      <rPr>
        <b/>
        <sz val="11"/>
        <rFont val="Times New Roman"/>
        <family val="1"/>
      </rPr>
      <t>адача 2 подпрограммы 2</t>
    </r>
    <r>
      <rPr>
        <sz val="11"/>
        <rFont val="Times New Roman"/>
        <family val="1"/>
      </rPr>
      <t xml:space="preserve"> "Удовлетворение потребностей населения в получении услуг дошкольного образования"</t>
    </r>
  </si>
  <si>
    <t xml:space="preserve"> ед.</t>
  </si>
  <si>
    <r>
      <t>З</t>
    </r>
    <r>
      <rPr>
        <b/>
        <sz val="11"/>
        <rFont val="Times New Roman"/>
        <family val="1"/>
      </rPr>
      <t>адача 3 подпрограммы 1</t>
    </r>
    <r>
      <rPr>
        <sz val="11"/>
        <rFont val="Times New Roman"/>
        <family val="1"/>
      </rPr>
      <t xml:space="preserve"> "Обеспечение доступности качественных образовательных услуг в образовательных организаций (учреждений) вне зависимости от места проживания и состояния здоровья обучающихся"</t>
    </r>
  </si>
  <si>
    <r>
      <rPr>
        <b/>
        <sz val="11"/>
        <rFont val="Times New Roman"/>
        <family val="1"/>
      </rPr>
      <t>Показатель 1 задачи 3 подпрограммы 1</t>
    </r>
    <r>
      <rPr>
        <sz val="11"/>
        <rFont val="Times New Roman"/>
        <family val="1"/>
      </rPr>
      <t xml:space="preserve"> "Доля сельских школьников, которым обеспечен ежедневный подвоз в  общеобразовательные организации (учреждения) специальным школьным автотранспортом в общей численности школьников, нуждающихся в подвозе "</t>
    </r>
  </si>
  <si>
    <r>
      <rPr>
        <b/>
        <sz val="11"/>
        <rFont val="Times New Roman"/>
        <family val="1"/>
      </rPr>
      <t>Показатель 1 задачи 2 подпрограммы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"Охват детей программами дошкольного образования  в образовательных организациях (учреждениях)"</t>
    </r>
  </si>
  <si>
    <r>
      <t>З</t>
    </r>
    <r>
      <rPr>
        <b/>
        <sz val="11"/>
        <rFont val="Times New Roman"/>
        <family val="1"/>
      </rPr>
      <t>адача 3 подпрограммы 2</t>
    </r>
    <r>
      <rPr>
        <sz val="11"/>
        <rFont val="Times New Roman"/>
        <family val="1"/>
      </rPr>
      <t xml:space="preserve"> "Развитие инфраструктуры муниципальных дошкольных образовательных организаций (учреждений) в соответствии с требованиями действующего законодательства"</t>
    </r>
  </si>
  <si>
    <r>
      <rPr>
        <b/>
        <sz val="11"/>
        <rFont val="Times New Roman"/>
        <family val="1"/>
      </rPr>
      <t>Показатель 1 задачи 3 подпрограммы 2</t>
    </r>
    <r>
      <rPr>
        <sz val="11"/>
        <rFont val="Times New Roman"/>
        <family val="1"/>
      </rPr>
      <t xml:space="preserve"> "Доля муниципальных дошкольных образовательных организаций (учреждений), соответствующих современным условиям осуществления образовательного процесса"</t>
    </r>
  </si>
  <si>
    <r>
      <rPr>
        <b/>
        <sz val="11"/>
        <rFont val="Times New Roman"/>
        <family val="1"/>
      </rPr>
      <t>Показатель 2 задачи 3 подпрограммы</t>
    </r>
    <r>
      <rPr>
        <sz val="11"/>
        <rFont val="Times New Roman"/>
        <family val="1"/>
      </rPr>
      <t xml:space="preserve"> 2 "Доля муниципальных дошкольных образовательных организаций (учреждений), имеющих все виды благоустройства"</t>
    </r>
  </si>
  <si>
    <r>
      <rPr>
        <b/>
        <sz val="11"/>
        <rFont val="Times New Roman"/>
        <family val="1"/>
      </rPr>
      <t>Показатель 3 задачи 3 подпрограммы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"Доля дошкольных образовательных организаций (учреждений) обеспеченных компьютерным и мультимедийным оборудованием для организации образовательного процесса с детьми"</t>
    </r>
  </si>
  <si>
    <t>чел</t>
  </si>
  <si>
    <t>чел.</t>
  </si>
  <si>
    <r>
      <rPr>
        <b/>
        <sz val="11"/>
        <rFont val="Times New Roman"/>
        <family val="1"/>
      </rPr>
      <t>Показатель 1 мероприятия 1 задачи 2 подпрограммы 1</t>
    </r>
    <r>
      <rPr>
        <sz val="11"/>
        <rFont val="Times New Roman"/>
        <family val="1"/>
      </rPr>
      <t xml:space="preserve"> "Количество общеобразовательных организаций (учреждений), в которых проведён капитальный и текущий ремонт зданий и помещений, находящихся в муниципальной собственности, используемых для предоставления услуг начального общего, основного общего, среднего общего образования"</t>
    </r>
  </si>
  <si>
    <r>
      <t xml:space="preserve">Показатель 1 мероприятия 2 задачи 2 подпрограммы 1 </t>
    </r>
    <r>
      <rPr>
        <sz val="11"/>
        <rFont val="Times New Roman"/>
        <family val="1"/>
      </rPr>
      <t>"Количество образовательных организаций (учреждений), в которых проведён капитальный и текущий ремонт зданий и помещений, находящихся в муниципальной собственности, используемых для предоставления услуг дополнительного образования"</t>
    </r>
  </si>
  <si>
    <r>
      <rPr>
        <b/>
        <sz val="11"/>
        <rFont val="Times New Roman"/>
        <family val="1"/>
      </rPr>
      <t xml:space="preserve">Показатель 1 мероприятия 3 задачи 2 подпрограммы 1 </t>
    </r>
    <r>
      <rPr>
        <sz val="11"/>
        <rFont val="Times New Roman"/>
        <family val="1"/>
      </rPr>
      <t>"Доля подведомственных учреждений, заключивших договора на обслуживание сетей коммунального хозяйства"</t>
    </r>
  </si>
  <si>
    <r>
      <rPr>
        <b/>
        <sz val="11"/>
        <rFont val="Times New Roman"/>
        <family val="1"/>
      </rPr>
      <t xml:space="preserve">Подпрограмма 6 </t>
    </r>
    <r>
      <rPr>
        <sz val="11"/>
        <rFont val="Times New Roman"/>
        <family val="1"/>
      </rPr>
      <t xml:space="preserve"> "Профилактика безнадзорности и правонарушений несовершеннолетних"</t>
    </r>
  </si>
  <si>
    <r>
      <t>З</t>
    </r>
    <r>
      <rPr>
        <b/>
        <sz val="11"/>
        <rFont val="Times New Roman"/>
        <family val="1"/>
      </rPr>
      <t>адача 1 подпрограммы 6</t>
    </r>
    <r>
      <rPr>
        <sz val="11"/>
        <rFont val="Times New Roman"/>
        <family val="1"/>
      </rPr>
      <t xml:space="preserve"> «Разработка системы профилактических и  предупредительных мер, направленных на раннее выявление лиц, склонных к совершению правонарушений и общественно опасных деяний».</t>
    </r>
  </si>
  <si>
    <r>
      <rPr>
        <b/>
        <sz val="11"/>
        <rFont val="Times New Roman"/>
        <family val="1"/>
      </rPr>
      <t xml:space="preserve">Административное мероприятие 1 задачи 1 подпрограммы 6 </t>
    </r>
    <r>
      <rPr>
        <sz val="11"/>
        <rFont val="Times New Roman"/>
        <family val="1"/>
      </rPr>
      <t>«Проведение советов профилактики в образовательных учреждениях»</t>
    </r>
  </si>
  <si>
    <r>
      <t xml:space="preserve">Показатель 1 административного мероприятия 1 задачи 1 подпрограммы 6 </t>
    </r>
    <r>
      <rPr>
        <sz val="11"/>
        <rFont val="Times New Roman"/>
        <family val="1"/>
      </rPr>
      <t>«Количество проведенных советов профилактики»</t>
    </r>
  </si>
  <si>
    <r>
      <t>З</t>
    </r>
    <r>
      <rPr>
        <b/>
        <sz val="11"/>
        <rFont val="Times New Roman"/>
        <family val="1"/>
      </rPr>
      <t>адача 2 подпрограммы 6</t>
    </r>
    <r>
      <rPr>
        <sz val="11"/>
        <rFont val="Times New Roman"/>
        <family val="1"/>
      </rPr>
      <t xml:space="preserve"> «Совершенствование системы межведомственного взаимодействия субъектов профилактики»</t>
    </r>
  </si>
  <si>
    <r>
      <rPr>
        <b/>
        <sz val="11"/>
        <rFont val="Times New Roman"/>
        <family val="1"/>
      </rPr>
      <t>Мероприятие 1 задачи 2 подпрограммы 6</t>
    </r>
    <r>
      <rPr>
        <sz val="11"/>
        <rFont val="Times New Roman"/>
        <family val="1"/>
      </rPr>
      <t xml:space="preserve"> «Проведение  семинаров, совместных совещаний для  учреждений образования при участии иных субъектов профилактики»</t>
    </r>
  </si>
  <si>
    <r>
      <t>Показатель 1 мероприятия 1 задачи 2 подпрограммы 6</t>
    </r>
    <r>
      <rPr>
        <sz val="11"/>
        <rFont val="Times New Roman"/>
        <family val="1"/>
      </rPr>
      <t xml:space="preserve"> «Количество проведенных семинаров, совещаний»</t>
    </r>
  </si>
  <si>
    <r>
      <t xml:space="preserve">Административное мероприятие 2 задачи 2 подпрограммы 6 </t>
    </r>
    <r>
      <rPr>
        <sz val="11"/>
        <rFont val="Times New Roman"/>
        <family val="1"/>
      </rPr>
      <t>«Проведение декадника лекционно- правовых встреч,  лекций  в учреждениях для различных категорий населения (учащиеся, педагоги, родители)»</t>
    </r>
  </si>
  <si>
    <r>
      <t xml:space="preserve">Показатель 1 административного мероприятия 2 задачи 2 подпрограммы 6 </t>
    </r>
    <r>
      <rPr>
        <sz val="11"/>
        <rFont val="Times New Roman"/>
        <family val="1"/>
      </rPr>
      <t>«Количество  принявших участие во встречах»</t>
    </r>
  </si>
  <si>
    <r>
      <t>З</t>
    </r>
    <r>
      <rPr>
        <b/>
        <sz val="11"/>
        <rFont val="Times New Roman"/>
        <family val="1"/>
      </rPr>
      <t>адача 3 подпрограммы 6</t>
    </r>
    <r>
      <rPr>
        <sz val="11"/>
        <rFont val="Times New Roman"/>
        <family val="1"/>
      </rPr>
      <t xml:space="preserve"> «Оказание содействия в организации досуга и занятости, состоящих на учете в КДН и ЗП»</t>
    </r>
  </si>
  <si>
    <r>
      <rPr>
        <b/>
        <sz val="11"/>
        <rFont val="Times New Roman"/>
        <family val="1"/>
      </rPr>
      <t>Мероприятие 1 задачи 3 подпрограммы 6</t>
    </r>
    <r>
      <rPr>
        <sz val="11"/>
        <rFont val="Times New Roman"/>
        <family val="1"/>
      </rPr>
      <t xml:space="preserve"> «Организация и проведение молодежных акций с участием несовершеннолетних, состоящих на учете в КДН и ЗП»</t>
    </r>
  </si>
  <si>
    <r>
      <t>Показатель 1 мероприятия 1 задачи 3 подпрограммы 6</t>
    </r>
    <r>
      <rPr>
        <sz val="11"/>
        <rFont val="Times New Roman"/>
        <family val="1"/>
      </rPr>
      <t xml:space="preserve"> «Количество подучетных  несовершеннолетних, принявших участие в акциях»</t>
    </r>
  </si>
  <si>
    <r>
      <t xml:space="preserve">Показатель 1 мероприятия 2 задачи 3 подпрограммы 6 </t>
    </r>
    <r>
      <rPr>
        <sz val="11"/>
        <rFont val="Times New Roman"/>
        <family val="1"/>
      </rPr>
      <t>«Количество подучетных  несовершеннолетних, принявших участие в экскурсиях»</t>
    </r>
  </si>
  <si>
    <r>
      <t>З</t>
    </r>
    <r>
      <rPr>
        <b/>
        <sz val="11"/>
        <rFont val="Times New Roman"/>
        <family val="1"/>
      </rPr>
      <t xml:space="preserve">адача 4 подпрограммы 6 </t>
    </r>
    <r>
      <rPr>
        <sz val="11"/>
        <rFont val="Times New Roman"/>
        <family val="1"/>
      </rPr>
      <t>«Развитие системы работы с семьями, состоящими на учете в КДН и ЗП»</t>
    </r>
  </si>
  <si>
    <r>
      <rPr>
        <b/>
        <sz val="11"/>
        <rFont val="Times New Roman"/>
        <family val="1"/>
      </rPr>
      <t>Мероприятие 1 задачи 4 подпрограммы 6</t>
    </r>
    <r>
      <rPr>
        <sz val="11"/>
        <rFont val="Times New Roman"/>
        <family val="1"/>
      </rPr>
      <t xml:space="preserve"> «Проведение образовательными учреждениями профилактических мероприятий с семьями»</t>
    </r>
  </si>
  <si>
    <r>
      <t>Показатель 1 мероприятия 1 задачи 4 подпрограммы 6</t>
    </r>
    <r>
      <rPr>
        <sz val="11"/>
        <rFont val="Times New Roman"/>
        <family val="1"/>
      </rPr>
      <t xml:space="preserve"> « Количество  мероприятий, проведенных образовательными учреждениями»</t>
    </r>
  </si>
  <si>
    <r>
      <t xml:space="preserve">Административное мероприятие 2 задачи 4 подпрограммы 6 </t>
    </r>
    <r>
      <rPr>
        <sz val="11"/>
        <rFont val="Times New Roman"/>
        <family val="1"/>
      </rPr>
      <t>«Проведение рейдов по семьям, состоящим на учете в КДН и ЗП или находящимся в СОП»</t>
    </r>
  </si>
  <si>
    <r>
      <t xml:space="preserve">Показатель 1 административного мероприятия 2 задачи 4 подпрограммы 6 </t>
    </r>
    <r>
      <rPr>
        <sz val="11"/>
        <rFont val="Times New Roman"/>
        <family val="1"/>
      </rPr>
      <t xml:space="preserve">«Количество  посещенных семей»
</t>
    </r>
  </si>
  <si>
    <r>
      <t xml:space="preserve">Административное мероприятие 3 задачи 4 подпрограммы 6 </t>
    </r>
    <r>
      <rPr>
        <sz val="11"/>
        <rFont val="Times New Roman"/>
        <family val="1"/>
      </rPr>
      <t>«Проведение ежегодного районного родительского собрания»</t>
    </r>
  </si>
  <si>
    <r>
      <t xml:space="preserve">Показатель 1  административного мероприятия 3 задачи 4 подпрограммы 6 </t>
    </r>
    <r>
      <rPr>
        <sz val="11"/>
        <rFont val="Times New Roman"/>
        <family val="1"/>
      </rPr>
      <t xml:space="preserve">«Количество родителей, принявших участие в собрании»
</t>
    </r>
  </si>
  <si>
    <r>
      <t>З</t>
    </r>
    <r>
      <rPr>
        <b/>
        <sz val="11"/>
        <rFont val="Times New Roman"/>
        <family val="1"/>
      </rPr>
      <t xml:space="preserve">адача 5 подпрограммы 6 </t>
    </r>
    <r>
      <rPr>
        <sz val="11"/>
        <rFont val="Times New Roman"/>
        <family val="1"/>
      </rPr>
      <t>«Информационное сопровождение деятельности КДН и ЗП»</t>
    </r>
  </si>
  <si>
    <r>
      <rPr>
        <b/>
        <sz val="11"/>
        <rFont val="Times New Roman"/>
        <family val="1"/>
      </rPr>
      <t>Мероприятие 1 задачи 5 подпрограммы 6</t>
    </r>
    <r>
      <rPr>
        <sz val="11"/>
        <rFont val="Times New Roman"/>
        <family val="1"/>
      </rPr>
      <t xml:space="preserve"> «Издание информационных листовок, тематических плакатов, брошюр, буклетов  с разъяснительными сведениями для различных групп населения»</t>
    </r>
  </si>
  <si>
    <r>
      <t>Показатель 1 мероприятия 1 задачи 5 подпрограммы 6</t>
    </r>
    <r>
      <rPr>
        <sz val="11"/>
        <rFont val="Times New Roman"/>
        <family val="1"/>
      </rPr>
      <t xml:space="preserve"> «Количество учреждений, в которых  систематически размещаются и распространяются информационные материалы»</t>
    </r>
  </si>
  <si>
    <r>
      <t xml:space="preserve">Показатель 1  мероприятия 2 задачи 5 подпрограммы 6 </t>
    </r>
    <r>
      <rPr>
        <sz val="11"/>
        <rFont val="Times New Roman"/>
        <family val="1"/>
      </rPr>
      <t xml:space="preserve">«Количество размещенных материалов»
</t>
    </r>
  </si>
  <si>
    <r>
      <rPr>
        <b/>
        <sz val="11"/>
        <rFont val="Times New Roman"/>
        <family val="1"/>
      </rPr>
      <t>Показатель 2  задачи 1 подпрограммы 1</t>
    </r>
    <r>
      <rPr>
        <sz val="11"/>
        <rFont val="Times New Roman"/>
        <family val="1"/>
      </rPr>
      <t xml:space="preserve"> "Доля школьников, обучающихся в учреждениях повышенного уровня, в общей численности обучающихся в дневных общеобразовательных организациях (учреждениях)"</t>
    </r>
  </si>
  <si>
    <r>
      <rPr>
        <b/>
        <sz val="11"/>
        <rFont val="Times New Roman"/>
        <family val="1"/>
      </rPr>
      <t>Показатель 4  задачи 1 подпрограммы 1</t>
    </r>
    <r>
      <rPr>
        <sz val="11"/>
        <rFont val="Times New Roman"/>
        <family val="1"/>
      </rPr>
      <t xml:space="preserve"> "Доля обучающихся 11 (12) классов, получивших аттестат о среднем общем образовании"</t>
    </r>
  </si>
  <si>
    <r>
      <rPr>
        <b/>
        <sz val="11"/>
        <rFont val="Times New Roman"/>
        <family val="1"/>
      </rPr>
      <t>Показатель 5  задачи 1 подпрограммы 1</t>
    </r>
    <r>
      <rPr>
        <sz val="11"/>
        <rFont val="Times New Roman"/>
        <family val="1"/>
      </rPr>
      <t xml:space="preserve"> "Доля обучающихся 9 классов, получивших аттестат об основном общем образовании"</t>
    </r>
  </si>
  <si>
    <r>
      <rPr>
        <b/>
        <sz val="11"/>
        <rFont val="Times New Roman"/>
        <family val="1"/>
      </rPr>
      <t>Показатель 7  задачи 1 подпрограммы 1</t>
    </r>
    <r>
      <rPr>
        <sz val="11"/>
        <rFont val="Times New Roman"/>
        <family val="1"/>
      </rPr>
      <t xml:space="preserve"> "Уровень удовлетворенности населения качеством предоставляемых образовательных услуг (на основе анкетирования населения и данных проводимых соцопросов)"</t>
    </r>
  </si>
  <si>
    <r>
      <rPr>
        <b/>
        <sz val="11"/>
        <rFont val="Times New Roman"/>
        <family val="1"/>
      </rPr>
      <t xml:space="preserve">Показатель 1 административного мероприятия 1 задачи 1 подпрограммы 1 </t>
    </r>
    <r>
      <rPr>
        <sz val="11"/>
        <rFont val="Times New Roman"/>
        <family val="1"/>
      </rPr>
      <t xml:space="preserve">"Количество проведённых опросов" </t>
    </r>
  </si>
  <si>
    <r>
      <rPr>
        <b/>
        <sz val="11"/>
        <rFont val="Times New Roman"/>
        <family val="1"/>
      </rPr>
      <t>Показатель 1 мероприятия 2 задачи 1 подпрограммы 1</t>
    </r>
    <r>
      <rPr>
        <sz val="11"/>
        <rFont val="Times New Roman"/>
        <family val="1"/>
      </rPr>
      <t xml:space="preserve"> "Количество детей, охваченных услугами муниципальных общеобразовательных организаций (учреждений)"</t>
    </r>
  </si>
  <si>
    <r>
      <rPr>
        <b/>
        <sz val="11"/>
        <rFont val="Times New Roman"/>
        <family val="1"/>
      </rPr>
      <t>Показатель 2 мероприятия 2 задачи 1 подпрограммы 1</t>
    </r>
    <r>
      <rPr>
        <sz val="11"/>
        <rFont val="Times New Roman"/>
        <family val="1"/>
      </rPr>
      <t xml:space="preserve"> "Средний размер субсидии на муниципальное задание общеобразовательных организаций (учреждений)  в расчёте на 1 ребёнка"</t>
    </r>
  </si>
  <si>
    <r>
      <t xml:space="preserve">Мероприятие 3 задачи 1 подпрограммы 1 </t>
    </r>
    <r>
      <rPr>
        <sz val="11"/>
        <rFont val="Times New Roman"/>
        <family val="1"/>
      </rPr>
      <t>"Обеспечение деятельности образовательных организаций (учреждений) дополнительного образования по оказанию услуг качественного образования в рамках выполнения муниципального задания"</t>
    </r>
  </si>
  <si>
    <r>
      <t>Показатель 1 мероприятия 3 задачи 1 подпрограммы 1</t>
    </r>
    <r>
      <rPr>
        <sz val="11"/>
        <rFont val="Times New Roman"/>
        <family val="1"/>
      </rPr>
      <t xml:space="preserve"> "Количество детей, охваченных услугами муниципальных образовательных учреждений (организаций) дополнительного образования"</t>
    </r>
  </si>
  <si>
    <r>
      <t xml:space="preserve">Показатель 2 мероприятия 3 задачи 1 подпрограммы 1 </t>
    </r>
    <r>
      <rPr>
        <sz val="11"/>
        <rFont val="Times New Roman"/>
        <family val="1"/>
      </rPr>
      <t xml:space="preserve"> "Средний размер субсидии на муниципальное задание образовательных организаций (учреждений) дополнительного образования  в расчёте на 1 ребёнка"</t>
    </r>
  </si>
  <si>
    <r>
      <t xml:space="preserve">Показатель 2 задачи 3 подпрограммы 1 </t>
    </r>
    <r>
      <rPr>
        <sz val="11"/>
        <rFont val="Times New Roman"/>
        <family val="1"/>
      </rPr>
      <t>" Количество детей-инвалидов, которые получают дистанционное образование"</t>
    </r>
  </si>
  <si>
    <r>
      <t xml:space="preserve">Показатель 3 задачи 3 подпрограммы 1 </t>
    </r>
    <r>
      <rPr>
        <sz val="11"/>
        <rFont val="Times New Roman"/>
        <family val="1"/>
      </rPr>
      <t>" Количество школ-участников программы "Доступная среда"</t>
    </r>
  </si>
  <si>
    <r>
      <rPr>
        <b/>
        <sz val="11"/>
        <rFont val="Times New Roman"/>
        <family val="1"/>
      </rPr>
      <t>Показатель 1 задачи 4 подпрограммы 1</t>
    </r>
    <r>
      <rPr>
        <sz val="11"/>
        <rFont val="Times New Roman"/>
        <family val="1"/>
      </rPr>
      <t xml:space="preserve"> "Доля обучающихся охваченных горячим питанием"</t>
    </r>
  </si>
  <si>
    <r>
      <rPr>
        <b/>
        <sz val="11"/>
        <rFont val="Times New Roman"/>
        <family val="1"/>
      </rPr>
      <t>Показатель 2 задачи 4 подпрограммы 1</t>
    </r>
    <r>
      <rPr>
        <sz val="11"/>
        <rFont val="Times New Roman"/>
        <family val="1"/>
      </rPr>
      <t xml:space="preserve"> "Количество школ-участников проекта "Школьный спорт"</t>
    </r>
  </si>
  <si>
    <r>
      <rPr>
        <b/>
        <sz val="11"/>
        <rFont val="Times New Roman"/>
        <family val="1"/>
      </rPr>
      <t>Показатель 3 задачи 4 подпрограммы 1</t>
    </r>
    <r>
      <rPr>
        <sz val="11"/>
        <rFont val="Times New Roman"/>
        <family val="1"/>
      </rPr>
      <t xml:space="preserve"> "Доля обучающихся, охваченных проектом "Школьный спорт"</t>
    </r>
  </si>
  <si>
    <r>
      <rPr>
        <b/>
        <sz val="11"/>
        <rFont val="Times New Roman"/>
        <family val="1"/>
      </rPr>
      <t xml:space="preserve">Показатель 1 мероприятия 2 задачи 5 подпрограммы 1 </t>
    </r>
    <r>
      <rPr>
        <sz val="11"/>
        <rFont val="Times New Roman"/>
        <family val="1"/>
      </rPr>
      <t>"Число педагогических работников, прошедших курсы повышения квалификации"</t>
    </r>
  </si>
  <si>
    <r>
      <rPr>
        <b/>
        <sz val="11"/>
        <rFont val="Times New Roman"/>
        <family val="1"/>
      </rPr>
      <t>Показатель 3 цели программы 1</t>
    </r>
    <r>
      <rPr>
        <sz val="11"/>
        <rFont val="Times New Roman"/>
        <family val="1"/>
      </rPr>
      <t xml:space="preserve"> "Доля выпускников государственных муниципальных общеобразовательных организаций (учреждений), получивших аттестат о среднем общем образовании"</t>
    </r>
  </si>
  <si>
    <r>
      <rPr>
        <b/>
        <sz val="11"/>
        <rFont val="Times New Roman"/>
        <family val="1"/>
      </rPr>
      <t>Показатель 1 мероприятия 2 задачи 3 подпрограммы 3</t>
    </r>
    <r>
      <rPr>
        <sz val="11"/>
        <rFont val="Times New Roman"/>
        <family val="1"/>
      </rPr>
      <t xml:space="preserve"> "Количество образовательных организаций(учреждений) дошкольного  образования, в которых установлено водоочистное оборудование"</t>
    </r>
  </si>
  <si>
    <r>
      <rPr>
        <b/>
        <sz val="11"/>
        <rFont val="Times New Roman"/>
        <family val="1"/>
      </rPr>
      <t>Показатель 1 мероприятия 2 задачи 4 подпрограммы 3</t>
    </r>
    <r>
      <rPr>
        <sz val="11"/>
        <rFont val="Times New Roman"/>
        <family val="1"/>
      </rPr>
      <t xml:space="preserve"> "Количество образовательных организаций(учреждений) общего образования, в которых проведена аттестация рабочих мест"</t>
    </r>
  </si>
  <si>
    <r>
      <rPr>
        <b/>
        <sz val="11"/>
        <rFont val="Times New Roman"/>
        <family val="1"/>
      </rPr>
      <t>Показатель 1 административного мероприятия 1 задачи 1 подпрограммы 5</t>
    </r>
    <r>
      <rPr>
        <sz val="11"/>
        <rFont val="Times New Roman"/>
        <family val="1"/>
      </rPr>
      <t xml:space="preserve"> "Количество образовательных учреждений (организаций), работающих по программам профильного, углубленного изучения предметов и индивидуальным учебным планам""</t>
    </r>
  </si>
  <si>
    <r>
      <rPr>
        <b/>
        <sz val="11"/>
        <rFont val="Times New Roman"/>
        <family val="1"/>
      </rPr>
      <t>Административное</t>
    </r>
    <r>
      <rPr>
        <sz val="11"/>
        <rFont val="Times New Roman"/>
        <family val="1"/>
      </rPr>
      <t xml:space="preserve"> м</t>
    </r>
    <r>
      <rPr>
        <b/>
        <sz val="11"/>
        <rFont val="Times New Roman"/>
        <family val="1"/>
      </rPr>
      <t>ероприятие 1 задачи 2 подпрограммы 5</t>
    </r>
    <r>
      <rPr>
        <sz val="11"/>
        <rFont val="Times New Roman"/>
        <family val="1"/>
      </rPr>
      <t xml:space="preserve"> "Организация участия обучающихся в предметных олимпиадах, творческих конкурсах, спортивных соревнованиях"</t>
    </r>
  </si>
  <si>
    <r>
      <t>Показатель 1 административного мероприятия 1 задачи 2 подпрограммы 5</t>
    </r>
    <r>
      <rPr>
        <sz val="11"/>
        <rFont val="Times New Roman"/>
        <family val="1"/>
      </rPr>
      <t xml:space="preserve"> "Количество обучающихся, участников муниципальных, региональных, всероссийских и международных олимпиад, конкурсов, соревнований и конференций "</t>
    </r>
  </si>
  <si>
    <r>
      <t xml:space="preserve">Показатель 2 административного мероприятия 1 задачи 2 подпрограммы 5 </t>
    </r>
    <r>
      <rPr>
        <sz val="11"/>
        <rFont val="Times New Roman"/>
        <family val="1"/>
      </rPr>
      <t>"Количество победителей  муниципальных, региональных, всероссийских и международных олимпиад, конкурсов, соревнований, конференций "</t>
    </r>
  </si>
  <si>
    <r>
      <t>Мероприятие 2 задачи 2 подпрограммы 5 "</t>
    </r>
    <r>
      <rPr>
        <sz val="11"/>
        <rFont val="Times New Roman"/>
        <family val="1"/>
      </rPr>
      <t>Участие одаренных детей в профильных творческих сменах детских оздоровительных лагерей"</t>
    </r>
  </si>
  <si>
    <r>
      <t xml:space="preserve">Показатель 1  мероприятия 2 задачи 2 подпрограммы 5 </t>
    </r>
    <r>
      <rPr>
        <sz val="11"/>
        <rFont val="Times New Roman"/>
        <family val="1"/>
      </rPr>
      <t>"Количество детей отдохнувших в профильных творческих сменах детских оздоровительных лагерей"</t>
    </r>
  </si>
  <si>
    <t>50</t>
  </si>
  <si>
    <r>
      <rPr>
        <b/>
        <sz val="11"/>
        <rFont val="Times New Roman"/>
        <family val="1"/>
      </rPr>
      <t>Административное мероприятие 1 задачи 1 подпрограммы 5</t>
    </r>
    <r>
      <rPr>
        <sz val="11"/>
        <rFont val="Times New Roman"/>
        <family val="1"/>
      </rPr>
      <t xml:space="preserve"> "Обучение в общеобразовательных учреждениях по программам профильного, углубленного изучения предметов и индивидуальным учебным программам"</t>
    </r>
  </si>
  <si>
    <r>
      <rPr>
        <b/>
        <sz val="11"/>
        <rFont val="Times New Roman"/>
        <family val="1"/>
      </rPr>
      <t>Мероприятие 8 задачи 1 подпрограммы 4</t>
    </r>
    <r>
      <rPr>
        <sz val="11"/>
        <rFont val="Times New Roman"/>
        <family val="1"/>
      </rPr>
      <t xml:space="preserve"> "Иные межбюджетные трансферты на реализацию мероприятий по обращениям, поступающим к депутатам Законодательного Собрания Тверской области (МБУ"ЗОЛ "Чайка")</t>
    </r>
  </si>
  <si>
    <r>
      <t xml:space="preserve">Показатель 1 мероприятия 8 задачи 1 подпрограммы 4 </t>
    </r>
    <r>
      <rPr>
        <sz val="11"/>
        <rFont val="Times New Roman"/>
        <family val="1"/>
      </rPr>
      <t>"Количество проведённых мероприятий по укреплению материально-технической базы ЗОЛ "Чайка" за счёт средств, поступивших от депутатов Законодательного Собрания Тверской области</t>
    </r>
  </si>
  <si>
    <r>
      <t xml:space="preserve">Показатель 1 мероприятия 3 задачи 2 подпрограммы 4 </t>
    </r>
    <r>
      <rPr>
        <sz val="11"/>
        <rFont val="Times New Roman"/>
        <family val="1"/>
      </rPr>
      <t>"Количество проведённых мероприятий с учащимися и подростками по профилактике безнадзорности и правонарушений"</t>
    </r>
  </si>
  <si>
    <r>
      <rPr>
        <b/>
        <sz val="11"/>
        <rFont val="Times New Roman"/>
        <family val="1"/>
      </rPr>
      <t>Мероприятие 4 задачи 2 подпрограммы 4</t>
    </r>
    <r>
      <rPr>
        <sz val="11"/>
        <rFont val="Times New Roman"/>
        <family val="1"/>
      </rPr>
      <t xml:space="preserve"> "Приобретение противопожарного оборудования ЗОЛ "Чайка" в рамках муниципального задания (задания учредителя)</t>
    </r>
  </si>
  <si>
    <r>
      <t xml:space="preserve">Показатель 1 мероприятия 4 задачи 2 подпрограммы 4 </t>
    </r>
    <r>
      <rPr>
        <sz val="11"/>
        <rFont val="Times New Roman"/>
        <family val="1"/>
      </rPr>
      <t>"Количество приобретённого противопожарного оборудования ЗОЛ "Чайка" в рамках муниципального задания (задания учредителя)</t>
    </r>
  </si>
  <si>
    <r>
      <rPr>
        <b/>
        <sz val="11"/>
        <rFont val="Times New Roman"/>
        <family val="1"/>
      </rPr>
      <t xml:space="preserve">Мероприятие 5 задачи 2 подпрограммы 4 </t>
    </r>
    <r>
      <rPr>
        <sz val="11"/>
        <rFont val="Times New Roman"/>
        <family val="1"/>
      </rPr>
      <t xml:space="preserve">" Мероприятия по созданию в общеобразовательных организациях , расположенных в сельской местности , условий для занятий физической культурой  и спортом за счёт средств федерального бюджета </t>
    </r>
  </si>
  <si>
    <r>
      <rPr>
        <b/>
        <sz val="11"/>
        <rFont val="Times New Roman"/>
        <family val="1"/>
      </rPr>
      <t xml:space="preserve">Показатель 1 мероприятия 6 задачи 2 подпрограммы 4 </t>
    </r>
    <r>
      <rPr>
        <sz val="11"/>
        <rFont val="Times New Roman"/>
        <family val="1"/>
      </rPr>
      <t>"Количество  проведенных мероприятий по созданию в общеобразовательных организациях, расположенных в сельской местности, условий для занятий физической культурой и спортом за счет средств федерального бюджета""</t>
    </r>
  </si>
  <si>
    <r>
      <rPr>
        <b/>
        <sz val="11"/>
        <rFont val="Times New Roman"/>
        <family val="1"/>
      </rPr>
      <t xml:space="preserve">Мероприятие 6 задачи 2 подпрограммы 4 </t>
    </r>
    <r>
      <rPr>
        <sz val="11"/>
        <rFont val="Times New Roman"/>
        <family val="1"/>
      </rPr>
      <t>"Создание в муниципальных общеобразовательных организациях, располодженных в сельской местности, условий для занятия физической культурой и спортом по направлению "Развитие школьных спортивных клубов" за счет средств областного бюджеьа"</t>
    </r>
  </si>
  <si>
    <r>
      <rPr>
        <b/>
        <sz val="11"/>
        <rFont val="Times New Roman"/>
        <family val="1"/>
      </rPr>
      <t xml:space="preserve">Показатель 1 мероприятия 2 задачи 2  подпрограммы 4 </t>
    </r>
    <r>
      <rPr>
        <sz val="11"/>
        <rFont val="Times New Roman"/>
        <family val="1"/>
      </rPr>
      <t>"Количество общеобразовательных организаций, расположенных в сельской местности, для которых созданы условия для занятий физической культурой и спортом по направлению "Развитие школьных спортивных клубов" за счет средств областного бюджета</t>
    </r>
  </si>
  <si>
    <r>
      <rPr>
        <b/>
        <sz val="11"/>
        <rFont val="Times New Roman"/>
        <family val="1"/>
      </rPr>
      <t>Мероприятие 7 задачи 2 подпрограммы 4 "</t>
    </r>
    <r>
      <rPr>
        <sz val="11"/>
        <rFont val="Times New Roman"/>
        <family val="1"/>
      </rPr>
      <t>Создание в муниципальных общеобразовательных организациях, расположенных в сельской местности, условий для занятий физической культурой и спортом по направлению" Развитие школьных спортивных клубов" за счет средств местного бюджета"</t>
    </r>
  </si>
  <si>
    <r>
      <rPr>
        <b/>
        <sz val="11"/>
        <rFont val="Times New Roman"/>
        <family val="1"/>
      </rPr>
      <t>Подпрограмма 2</t>
    </r>
    <r>
      <rPr>
        <sz val="11"/>
        <rFont val="Times New Roman"/>
        <family val="1"/>
      </rPr>
      <t xml:space="preserve"> "Модернизация дошкольного образования Осташковского городского округа</t>
    </r>
  </si>
  <si>
    <r>
      <t xml:space="preserve">Мероприятие 1 задачи 1 подпрограммы 2 </t>
    </r>
    <r>
      <rPr>
        <sz val="11"/>
        <rFont val="Times New Roman"/>
        <family val="1"/>
      </rPr>
      <t>"Содействие муниципальным дошкольным образовательным организациям (учреждениям) в проведении капитального и текущего ремонта зданий и помещений, находящихся в муниципальной собственности, в т.ч. устранение нарушений по предписаниям и решениям суда.</t>
    </r>
  </si>
  <si>
    <t>Управление образования Осташковского городского округа</t>
  </si>
  <si>
    <t>Характеристика   муниципальной   программы  Осташковского городского округа Тверской области</t>
  </si>
  <si>
    <r>
      <rPr>
        <b/>
        <sz val="11"/>
        <rFont val="Times New Roman"/>
        <family val="1"/>
      </rPr>
      <t>Показатель1 цели программы 1</t>
    </r>
    <r>
      <rPr>
        <sz val="11"/>
        <rFont val="Times New Roman"/>
        <family val="1"/>
      </rPr>
      <t xml:space="preserve"> "Удовлетворённость населения Осташковского городского округа качеством образовательных услуг и их доступностью"</t>
    </r>
  </si>
  <si>
    <r>
      <rPr>
        <b/>
        <sz val="11"/>
        <rFont val="Times New Roman"/>
        <family val="1"/>
      </rPr>
      <t xml:space="preserve">Показатель 5 цели программы 1 </t>
    </r>
    <r>
      <rPr>
        <sz val="11"/>
        <rFont val="Times New Roman"/>
        <family val="1"/>
      </rPr>
      <t>"Доля расходов бюджета Осташковского городского округа на образование"</t>
    </r>
  </si>
  <si>
    <r>
      <t>З</t>
    </r>
    <r>
      <rPr>
        <b/>
        <sz val="11"/>
        <rFont val="Times New Roman"/>
        <family val="1"/>
      </rPr>
      <t xml:space="preserve">адача 1 подпрограммы 2 </t>
    </r>
    <r>
      <rPr>
        <sz val="11"/>
        <rFont val="Times New Roman"/>
        <family val="1"/>
      </rPr>
      <t>"Содействие развитию системы дошкольного образования в Осташковском городском округе</t>
    </r>
  </si>
  <si>
    <r>
      <rPr>
        <b/>
        <sz val="11"/>
        <rFont val="Times New Roman"/>
        <family val="1"/>
      </rPr>
      <t>Показатель 2 задачи 1 подпрограммы 2</t>
    </r>
    <r>
      <rPr>
        <sz val="11"/>
        <rFont val="Times New Roman"/>
        <family val="1"/>
      </rPr>
      <t xml:space="preserve"> "Доля расходов бюджета Осташковского городского округа на дошкольное образование в общем объёме расходов бюджета  МО на отрасль "Образование"</t>
    </r>
  </si>
  <si>
    <r>
      <rPr>
        <b/>
        <sz val="11"/>
        <rFont val="Times New Roman"/>
        <family val="1"/>
      </rPr>
      <t>Показатель 2 задачи 2 подпрограммы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"Охват дошкольным образованием детей, зарегистрированных на территории Осташковского городского округа (в том числе детей в возрасте 3-7 лет)"</t>
    </r>
  </si>
  <si>
    <r>
      <t>Задача 1 подпрограммы 3.</t>
    </r>
    <r>
      <rPr>
        <sz val="11"/>
        <rFont val="Times New Roman"/>
        <family val="1"/>
      </rPr>
      <t>"Обеспечение пожарной безопасности в образовательных организаций (учреждениий) Осташковского городского округа</t>
    </r>
  </si>
  <si>
    <r>
      <t>З</t>
    </r>
    <r>
      <rPr>
        <b/>
        <sz val="11"/>
        <rFont val="Times New Roman"/>
        <family val="1"/>
      </rPr>
      <t>адача 2 подпрограммы 3</t>
    </r>
    <r>
      <rPr>
        <sz val="11"/>
        <rFont val="Times New Roman"/>
        <family val="1"/>
      </rPr>
      <t xml:space="preserve"> "Обеспечение антитеррористической безопасности в образовательных  организациях (учреждениях) Осташковского городского округа</t>
    </r>
  </si>
  <si>
    <r>
      <t>З</t>
    </r>
    <r>
      <rPr>
        <b/>
        <sz val="11"/>
        <rFont val="Times New Roman"/>
        <family val="1"/>
      </rPr>
      <t>адача 3 подпрограммы 3</t>
    </r>
    <r>
      <rPr>
        <sz val="11"/>
        <rFont val="Times New Roman"/>
        <family val="1"/>
      </rPr>
      <t xml:space="preserve"> "Обеспечение экологической безопасности в образовательных организациях (учреждениях)  Осташковского городского округа</t>
    </r>
  </si>
  <si>
    <r>
      <t>З</t>
    </r>
    <r>
      <rPr>
        <b/>
        <sz val="11"/>
        <rFont val="Times New Roman"/>
        <family val="1"/>
      </rPr>
      <t>адача 4 подпрограммы 3</t>
    </r>
    <r>
      <rPr>
        <sz val="11"/>
        <rFont val="Times New Roman"/>
        <family val="1"/>
      </rPr>
      <t xml:space="preserve"> "Повышение уровня охраны труда в образовательных организациях (учреждениях)  Осташковского городского округа</t>
    </r>
  </si>
  <si>
    <r>
      <rPr>
        <b/>
        <sz val="11"/>
        <rFont val="Times New Roman"/>
        <family val="1"/>
      </rPr>
      <t>Подпрограмма 4</t>
    </r>
    <r>
      <rPr>
        <sz val="11"/>
        <rFont val="Times New Roman"/>
        <family val="1"/>
      </rPr>
      <t xml:space="preserve"> "Организация и обеспечение занятости, отдыха и оздоровления детей в Осташковском городском округе"</t>
    </r>
  </si>
  <si>
    <r>
      <rPr>
        <b/>
        <sz val="11"/>
        <rFont val="Times New Roman"/>
        <family val="1"/>
      </rPr>
      <t xml:space="preserve">Показатель 1 задачи 1 подпрограммы 4 </t>
    </r>
    <r>
      <rPr>
        <sz val="11"/>
        <rFont val="Times New Roman"/>
        <family val="1"/>
      </rPr>
      <t>"Процент охвата детей Осташковского городского округа организованными формами отдыха и оздоровления от общего числа детей школьного возраста"</t>
    </r>
  </si>
  <si>
    <r>
      <rPr>
        <b/>
        <sz val="11"/>
        <rFont val="Times New Roman"/>
        <family val="1"/>
      </rPr>
      <t>Показатель 1 мероприятия 7 задачи 2 подпрограммы 4 "</t>
    </r>
    <r>
      <rPr>
        <sz val="11"/>
        <rFont val="Times New Roman"/>
        <family val="1"/>
      </rPr>
      <t>Количество обучающихся, вовлеченных в клуб"</t>
    </r>
  </si>
  <si>
    <r>
      <rPr>
        <b/>
        <sz val="11"/>
        <rFont val="Times New Roman"/>
        <family val="1"/>
      </rPr>
      <t>Мероприятие 5 задачи 1 подпрограммы 1</t>
    </r>
    <r>
      <rPr>
        <sz val="11"/>
        <rFont val="Times New Roman"/>
        <family val="1"/>
      </rPr>
      <t xml:space="preserve"> "Проведение мероприятий в муниципальных общеобразовательных организациях(учреждениях) и образовательных организациях (учреждениях) дополнительного образования за счет средств бюджета  Осташковского городского округа:в т.ч  Средства депутатов Осташковской городской Думы</t>
    </r>
  </si>
  <si>
    <r>
      <t xml:space="preserve">Показатель 1 мероприятия 5 задачи 1 подпрограммы 1 </t>
    </r>
    <r>
      <rPr>
        <sz val="11"/>
        <rFont val="Times New Roman"/>
        <family val="1"/>
      </rPr>
      <t>«Количество мероприятий в муниципальных общеобразовательных организациях (учреждениях) и оргагнизациях (учреждениях) дополнительного образования проведённых за счёт средств бюджета Осташковского городского округа, в т.ч. Средства депутатов Осташковской городской Думы</t>
    </r>
  </si>
  <si>
    <t>Субсидии на повышение заработной платы педагогическим работникам муниципальных организаций дополнительного образования за счет средств областного бюджета</t>
  </si>
  <si>
    <r>
      <t>Показатель1 задачи 2 подпрограммы 1</t>
    </r>
    <r>
      <rPr>
        <sz val="11"/>
        <rFont val="Times New Roman"/>
        <family val="1"/>
      </rPr>
      <t>"Доля школьников, обучающихся в муниципальных образовательных учреждениях (организациях), соответствующих современным условиям осуществления образовательного процесса"</t>
    </r>
  </si>
  <si>
    <r>
      <t>Показатель 2 задачи 2 подпрограммы 1</t>
    </r>
    <r>
      <rPr>
        <sz val="11"/>
        <rFont val="Times New Roman"/>
        <family val="1"/>
      </rPr>
      <t>"Доля общеобразовательных организаций (учреждений), имеющих все виды благоустройств"</t>
    </r>
  </si>
  <si>
    <r>
      <t xml:space="preserve">Мероприятие 3 задачи 3 подпрограммы 1 </t>
    </r>
    <r>
      <rPr>
        <sz val="11"/>
        <rFont val="Times New Roman"/>
        <family val="1"/>
      </rPr>
      <t>" Обучение детей-инвалидов"</t>
    </r>
  </si>
  <si>
    <r>
      <t>Показатель 1 мероприятия 3 задачи 3 подпрограммы 1</t>
    </r>
    <r>
      <rPr>
        <sz val="11"/>
        <rFont val="Times New Roman"/>
        <family val="1"/>
      </rPr>
      <t xml:space="preserve"> "Количество школ участников программы "Доступная среда""</t>
    </r>
  </si>
  <si>
    <r>
      <rPr>
        <b/>
        <sz val="11"/>
        <rFont val="Times New Roman"/>
        <family val="1"/>
      </rPr>
      <t>Показатель 1 задачи 5 подпрограммы 1</t>
    </r>
    <r>
      <rPr>
        <sz val="11"/>
        <rFont val="Times New Roman"/>
        <family val="1"/>
      </rPr>
      <t xml:space="preserve"> "Доля  выпускников 9 классов успешно прошедших государственную итоговую аттестацию""</t>
    </r>
  </si>
  <si>
    <r>
      <rPr>
        <b/>
        <sz val="11"/>
        <rFont val="Times New Roman"/>
        <family val="1"/>
      </rPr>
      <t>Показатель 2 задачи 5 подпрограммы 1</t>
    </r>
    <r>
      <rPr>
        <sz val="11"/>
        <rFont val="Times New Roman"/>
        <family val="1"/>
      </rPr>
      <t xml:space="preserve"> "Доля  выпускников, успешно сдавших единый государственный экзамен (далее ЕГЭ) по русскому языку"</t>
    </r>
  </si>
  <si>
    <r>
      <rPr>
        <b/>
        <sz val="11"/>
        <rFont val="Times New Roman"/>
        <family val="1"/>
      </rPr>
      <t>Показатель 3 задачи 5 подпрограммы 1</t>
    </r>
    <r>
      <rPr>
        <sz val="11"/>
        <rFont val="Times New Roman"/>
        <family val="1"/>
      </rPr>
      <t xml:space="preserve"> "Доля  выпускников, успешно сдавших ЕГЭ по математике (база)"</t>
    </r>
  </si>
  <si>
    <r>
      <rPr>
        <b/>
        <sz val="11"/>
        <rFont val="Times New Roman"/>
        <family val="1"/>
      </rPr>
      <t>Показатель 4 задачи 5 подпрограммы 1</t>
    </r>
    <r>
      <rPr>
        <sz val="11"/>
        <rFont val="Times New Roman"/>
        <family val="1"/>
      </rPr>
      <t xml:space="preserve"> "Доля  выпускников успешно сдавших егэ по математике (профиль)"</t>
    </r>
  </si>
  <si>
    <r>
      <rPr>
        <b/>
        <sz val="11"/>
        <rFont val="Times New Roman"/>
        <family val="1"/>
      </rPr>
      <t>Административное мероприятие  1 задачи 5 подпрограммы 1</t>
    </r>
    <r>
      <rPr>
        <sz val="11"/>
        <rFont val="Times New Roman"/>
        <family val="1"/>
      </rPr>
      <t xml:space="preserve"> "Организация и проведение  государственной (итоговой) аттестации за курс основной  и  средней школы"</t>
    </r>
  </si>
  <si>
    <r>
      <t>Показатель 1 задачи 2 подпрограммы 3</t>
    </r>
    <r>
      <rPr>
        <sz val="11"/>
        <rFont val="Times New Roman"/>
        <family val="1"/>
      </rPr>
      <t>" Доля образовательных учреждений, в кторых обеспечена антитеррористическая безопасность"</t>
    </r>
  </si>
  <si>
    <r>
      <rPr>
        <b/>
        <sz val="11"/>
        <rFont val="Times New Roman"/>
        <family val="1"/>
      </rPr>
      <t>Показатель 1 мероприятия 2 задачи 2 подпрограммы 3</t>
    </r>
    <r>
      <rPr>
        <sz val="11"/>
        <rFont val="Times New Roman"/>
        <family val="1"/>
      </rPr>
      <t xml:space="preserve"> "Количество зданий образовательных организаций(учреждений) общего образования, оборудованных системами видеонаблюдения"</t>
    </r>
  </si>
  <si>
    <t>Субсидии на повышение заработной платы педагогическим работникам муниципальных организаций дополнительного образования за счет средств местного бюджета</t>
  </si>
  <si>
    <r>
      <t xml:space="preserve">Мероприятие 2 задачи 2 подпрограммы 1 </t>
    </r>
    <r>
      <rPr>
        <sz val="11"/>
        <rFont val="Times New Roman"/>
        <family val="1"/>
      </rPr>
      <t>" Содействие муниципальным образовательным организациям (учреждениям) дополнительного образования в проведении капитального и текущего ремонта зданий и помещений, находящихся в муниципальной собственности, в т.ч. устранение нарушений по предписаниям и решениям суда"</t>
    </r>
  </si>
  <si>
    <t>Обеспечение деятельности образовательных организаций (учреждений), реализующих программу дошкольного образования, по оказанию услуг по присмотру и уходу в рамках выполнения муниципального задания</t>
  </si>
  <si>
    <r>
      <rPr>
        <b/>
        <sz val="11"/>
        <rFont val="Times New Roman"/>
        <family val="1"/>
      </rPr>
      <t>Мероприятие 1 задачи 3 подпрограммы 1</t>
    </r>
    <r>
      <rPr>
        <sz val="11"/>
        <rFont val="Times New Roman"/>
        <family val="1"/>
      </rPr>
      <t xml:space="preserve"> Создание условий для предоставления услуг общеобразовательным учреждениям Осташковского городского округа на транспортное обслуживание населения в части обеспечения подвоза учащихся, проживающих в сельской местности, к месту учебы и обратно за счет средств местного бюджета"</t>
    </r>
  </si>
  <si>
    <r>
      <t>Показатель 1 мероприятия 1 задачи 3 подпрограммы 1</t>
    </r>
    <r>
      <rPr>
        <sz val="11"/>
        <rFont val="Times New Roman"/>
        <family val="1"/>
      </rPr>
      <t xml:space="preserve"> " Размер субсидии муниципального бюджета на подвоз 1 обучающегося, пользующегося подвозом"</t>
    </r>
  </si>
  <si>
    <r>
      <t xml:space="preserve">Показатель 2 мероприятия 1 задачи 3 подпрограммы 1 </t>
    </r>
    <r>
      <rPr>
        <sz val="11"/>
        <rFont val="Times New Roman"/>
        <family val="1"/>
      </rPr>
      <t>" Соответствие автобусов для подвоза обучающихся, проживающих в сельской местности, к месту обучения и обратно ГОСТ P S1160-98 "Автобусы для перевозки детей.Технические требования"</t>
    </r>
  </si>
  <si>
    <r>
      <t xml:space="preserve">Показатель 3 мероприятия 1 задачи 3 подпрограммы 1 </t>
    </r>
    <r>
      <rPr>
        <sz val="11"/>
        <rFont val="Times New Roman"/>
        <family val="1"/>
      </rPr>
      <t>" Оснащение автобусов для подвоза учащихся, проживающих в сельской местности, к месту обучения и обратно на основании постановления Правительства Российской Федерации от 25.08.2008 №641 аппаратурой спутниковой навигации Глонасс и глонасс gps "</t>
    </r>
  </si>
  <si>
    <r>
      <t xml:space="preserve">Показатель 4 мероприятия 1 задачи 3 подпрограммы 1 </t>
    </r>
    <r>
      <rPr>
        <sz val="11"/>
        <rFont val="Times New Roman"/>
        <family val="1"/>
      </rPr>
      <t>" Оснащение автобусов для подвоза учащихся, проживающих в сельской местности, к месту обучения и обратно на основании приказа Министерства транспорта Российской Федерации от 21.08.2013 №273 тахографами"</t>
    </r>
  </si>
  <si>
    <r>
      <t xml:space="preserve">Мероприятие 2 задачи 3 подпрограммы 1 </t>
    </r>
    <r>
      <rPr>
        <sz val="11"/>
        <rFont val="Times New Roman"/>
        <family val="1"/>
      </rPr>
      <t>"  Субсидии на создание условий для предоставления транспортных услуг населению и организации транспортного обслуживания населения между поселениями в границе Осташковского городского округа в части обеспечения  подвоза обучающихся. проживающих в сельской местности к месту обучения и обратно"</t>
    </r>
  </si>
  <si>
    <r>
      <t>Показатель 1 мероприятий 2 задачи 3 подпрограммы 1</t>
    </r>
    <r>
      <rPr>
        <sz val="11"/>
        <rFont val="Times New Roman"/>
        <family val="1"/>
      </rPr>
      <t>"Доля учащихся, пользующихся услугами школьного транспорта"</t>
    </r>
  </si>
  <si>
    <r>
      <t xml:space="preserve"> Мероприятие 2 задачи 3 подпрограммы 6 </t>
    </r>
    <r>
      <rPr>
        <sz val="11"/>
        <rFont val="Times New Roman"/>
        <family val="1"/>
      </rPr>
      <t>«Проведение познавательных экскурсий»</t>
    </r>
  </si>
  <si>
    <r>
      <t>Показатель 1 подпрограммы 3</t>
    </r>
    <r>
      <rPr>
        <sz val="11"/>
        <rFont val="Times New Roman"/>
        <family val="1"/>
      </rPr>
      <t>" Доля образовательных учреждений, в которых обеспечена пожарная безопасность"</t>
    </r>
  </si>
  <si>
    <r>
      <rPr>
        <b/>
        <sz val="11"/>
        <rFont val="Times New Roman"/>
        <family val="1"/>
      </rPr>
      <t>Подпрограмма 1</t>
    </r>
    <r>
      <rPr>
        <sz val="11"/>
        <rFont val="Times New Roman"/>
        <family val="1"/>
      </rPr>
      <t xml:space="preserve"> "Модернизация начального общего, основного общего, среднего общего и дополнительного образования"</t>
    </r>
  </si>
  <si>
    <r>
      <t>Главный администратор  (администратор) муниципальной  программы: администрация  Осташковского городского округа Тверской области (</t>
    </r>
    <r>
      <rPr>
        <b/>
        <u val="single"/>
        <sz val="12"/>
        <rFont val="Times New Roman"/>
        <family val="1"/>
      </rPr>
      <t xml:space="preserve">Отдел образования) </t>
    </r>
  </si>
  <si>
    <r>
      <rPr>
        <b/>
        <sz val="11"/>
        <rFont val="Times New Roman"/>
        <family val="1"/>
      </rPr>
      <t>Показатель 3  задачи 1 подпрограммы 1</t>
    </r>
    <r>
      <rPr>
        <sz val="11"/>
        <rFont val="Times New Roman"/>
        <family val="1"/>
      </rPr>
      <t xml:space="preserve"> "Доля расходов бюджета Осташковского городского округа на общее образование в объёме расходов бюджета Осташковского городского округа на отрасль "Образование"</t>
    </r>
  </si>
  <si>
    <t>27</t>
  </si>
  <si>
    <r>
      <rPr>
        <b/>
        <sz val="11"/>
        <rFont val="Times New Roman"/>
        <family val="1"/>
      </rPr>
      <t>Показатель 1 мероприятия 1 задачи 1 подпрограммы 2</t>
    </r>
    <r>
      <rPr>
        <sz val="11"/>
        <rFont val="Times New Roman"/>
        <family val="1"/>
      </rPr>
      <t xml:space="preserve"> "Количество дошкольных образовательных организаций (учреждений), в которых проведён капитальный и текущий ремонт зданий и помещений, находящихся в муниципальной собственности, в т.ч. устранение нарушений по предписаниям и решениям суда.</t>
    </r>
  </si>
  <si>
    <r>
      <rPr>
        <b/>
        <sz val="11"/>
        <rFont val="Times New Roman"/>
        <family val="1"/>
      </rPr>
      <t>Мероприятие 1 задачи 1 подпрограммы 1</t>
    </r>
    <r>
      <rPr>
        <sz val="11"/>
        <rFont val="Times New Roman"/>
        <family val="1"/>
      </rPr>
      <t xml:space="preserve"> "Проведение анкетирования и социалогического опроса с целью выявления степени удовлетворения жителей округа услугами начального общего, основного общего, среднего общего и дополнительного образования"</t>
    </r>
  </si>
  <si>
    <t>162</t>
  </si>
  <si>
    <t>300</t>
  </si>
  <si>
    <r>
      <t xml:space="preserve">Показатель 1 административного мероприятия 1 задачи 5 подпрограммы 1 </t>
    </r>
    <r>
      <rPr>
        <sz val="11"/>
        <rFont val="Times New Roman"/>
        <family val="1"/>
      </rPr>
      <t>"Количество проведенных экзаменов"</t>
    </r>
  </si>
  <si>
    <r>
      <rPr>
        <b/>
        <sz val="11"/>
        <rFont val="Times New Roman"/>
        <family val="1"/>
      </rPr>
      <t>Мероприятие 2 задачи 1 подпрограммы 1</t>
    </r>
    <r>
      <rPr>
        <sz val="11"/>
        <rFont val="Times New Roman"/>
        <family val="1"/>
      </rPr>
      <t xml:space="preserve"> "Обеспечение деятельности образовательных организаций (учреждений), реализующих программы начального общего, основного общего, среднего общего образования  по оказанию услуг качественного образования в рамках выполнения муниципального задания"  за счёт средств областного бюджета</t>
    </r>
  </si>
  <si>
    <t>за счет местного бюджета</t>
  </si>
  <si>
    <r>
      <rPr>
        <b/>
        <sz val="11"/>
        <rFont val="Times New Roman"/>
        <family val="1"/>
      </rPr>
      <t>Показатель 2 цели программы  1</t>
    </r>
    <r>
      <rPr>
        <sz val="11"/>
        <rFont val="Times New Roman"/>
        <family val="1"/>
      </rPr>
      <t xml:space="preserve">  "Охват программами дошкольного образования детей в возрасте 0-7 лет"</t>
    </r>
  </si>
  <si>
    <r>
      <t xml:space="preserve">Показатель 6 задачи1 подпрограммы 1 </t>
    </r>
    <r>
      <rPr>
        <sz val="11"/>
        <rFont val="Times New Roman"/>
        <family val="1"/>
      </rPr>
      <t>"Охват детей программами дополнительного образования в образовательных организациях (учреждениях) дополнительного образования (в возрасте от 5 до 18 лет)"</t>
    </r>
  </si>
  <si>
    <r>
      <rPr>
        <b/>
        <sz val="11"/>
        <rFont val="Times New Roman"/>
        <family val="1"/>
      </rPr>
      <t>Мероприятие 4 задачи 2 подпрограммы 2</t>
    </r>
    <r>
      <rPr>
        <sz val="11"/>
        <rFont val="Times New Roman"/>
        <family val="1"/>
      </rPr>
      <t xml:space="preserve"> "Проведение анкетирования и соцопросов граждан с целью выявления положительно оценивших качество услуг психолого-педагогической, методической и консультативной помощи, от общего числа обратившихся за получением услуги"</t>
    </r>
  </si>
  <si>
    <r>
      <rPr>
        <b/>
        <sz val="11"/>
        <rFont val="Times New Roman"/>
        <family val="1"/>
      </rPr>
      <t>Показатель 8  задачи 1 подпрограммы 1</t>
    </r>
    <r>
      <rPr>
        <sz val="11"/>
        <rFont val="Times New Roman"/>
        <family val="1"/>
      </rPr>
      <t xml:space="preserve"> "Доля муниципальных учреждений Осташковского городского округа, в которых ликвидировано обучение в 3-ю смену"</t>
    </r>
  </si>
  <si>
    <r>
      <rPr>
        <b/>
        <sz val="11"/>
        <rFont val="Times New Roman"/>
        <family val="1"/>
      </rPr>
      <t>Мероприятие 3 задачи 2 подпрограммы 2</t>
    </r>
    <r>
      <rPr>
        <sz val="11"/>
        <rFont val="Times New Roman"/>
        <family val="1"/>
      </rPr>
      <t xml:space="preserve"> "Предоставление услуг психолого-педагогической, методической и консультативной помощи родителям (законным представителям) детей, а также гражданам, желающим принять на воспитание в свои семьи детей, оставшихся без попечения родителей, в том числе с привлечением некоммерческих организаций""</t>
    </r>
  </si>
  <si>
    <r>
      <t xml:space="preserve">Мероприятие 2 задачи 5 подпрограммы 6 </t>
    </r>
    <r>
      <rPr>
        <sz val="11"/>
        <rFont val="Times New Roman"/>
        <family val="1"/>
      </rPr>
      <t>«Размещение материалов о деятельности КДН и ЗП, органов и учреждений системы профилактики  в местных СМИ»</t>
    </r>
  </si>
  <si>
    <r>
      <t>Задача 6 подпрограммы 6 "</t>
    </r>
    <r>
      <rPr>
        <sz val="11"/>
        <rFont val="Times New Roman"/>
        <family val="1"/>
      </rPr>
      <t>Деятельность по выявлению, пресечению последующему устранению причин преступности среди несовершеннолетних"</t>
    </r>
  </si>
  <si>
    <r>
      <t xml:space="preserve">Показатель 1 задачи 6 подпрограммы 6 </t>
    </r>
    <r>
      <rPr>
        <sz val="11"/>
        <rFont val="Times New Roman"/>
        <family val="1"/>
      </rPr>
      <t>"Количество обучающихся находящихся в трудной жизненной ситуации"</t>
    </r>
  </si>
  <si>
    <r>
      <t xml:space="preserve">Административное мероприятие 1 задачи 6 подпрограммы 6 </t>
    </r>
    <r>
      <rPr>
        <sz val="11"/>
        <rFont val="Times New Roman"/>
        <family val="1"/>
      </rPr>
      <t>"Выявление обучающихся находящихся в трудной жизненной ситуации"</t>
    </r>
  </si>
  <si>
    <r>
      <t xml:space="preserve">Показатель 1 Административного мероприятия 1 задачи 6 подпрограммы 6 </t>
    </r>
    <r>
      <rPr>
        <sz val="11"/>
        <rFont val="Times New Roman"/>
        <family val="1"/>
      </rPr>
      <t>"Количество выявленных обучающихся находящихся в трудной жизненной ситуации"</t>
    </r>
  </si>
  <si>
    <r>
      <t xml:space="preserve">Показатель 2 задачи 6 подпрограммы 6 </t>
    </r>
    <r>
      <rPr>
        <sz val="11"/>
        <rFont val="Times New Roman"/>
        <family val="1"/>
      </rPr>
      <t>"Количество "трудных" обучающихся вовлеченных в различные виды положительной деятельности"</t>
    </r>
  </si>
  <si>
    <r>
      <t xml:space="preserve">Административное мероприятие 2 задачи 6 подпрограммы 6 </t>
    </r>
    <r>
      <rPr>
        <sz val="11"/>
        <rFont val="Times New Roman"/>
        <family val="1"/>
      </rPr>
      <t>"Выявление "трудных" обучающихся"</t>
    </r>
  </si>
  <si>
    <r>
      <t xml:space="preserve">Показатель 1 Административного мероприятия 2 задачи 6 подпрограммы 6 </t>
    </r>
    <r>
      <rPr>
        <sz val="11"/>
        <rFont val="Times New Roman"/>
        <family val="1"/>
      </rPr>
      <t>"Количество выявленных "трудных" обучающихся"</t>
    </r>
  </si>
  <si>
    <r>
      <t xml:space="preserve">Показатель 3 задачи 6 подпрограммы 6 </t>
    </r>
    <r>
      <rPr>
        <sz val="11"/>
        <rFont val="Times New Roman"/>
        <family val="1"/>
      </rPr>
      <t>"Количество общегородских мероприятий для несовершеннолетних, способствующих формированию здорового образа жизни"</t>
    </r>
  </si>
  <si>
    <r>
      <t xml:space="preserve">Административное мероприятие 3 задачи 6 подпрограммы 6 </t>
    </r>
    <r>
      <rPr>
        <sz val="11"/>
        <rFont val="Times New Roman"/>
        <family val="1"/>
      </rPr>
      <t>"Проведение общегородских мероприятий для несовершеннолетних по формированию навыков здорового образа жизни"</t>
    </r>
  </si>
  <si>
    <r>
      <t xml:space="preserve">Административное мероприятие 2 задачи 1 подпрограммы 6 </t>
    </r>
    <r>
      <rPr>
        <sz val="11"/>
        <rFont val="Times New Roman"/>
        <family val="1"/>
      </rPr>
      <t>"Проведение заседаний КДН и ЗП"</t>
    </r>
  </si>
  <si>
    <r>
      <t xml:space="preserve">Показатель 1 Административного мероприятия 2 задачи 1 подпрограммы 6 </t>
    </r>
    <r>
      <rPr>
        <sz val="11"/>
        <rFont val="Times New Roman"/>
        <family val="1"/>
      </rPr>
      <t>"Количество проведенных заседаний КДН и ЗП"</t>
    </r>
  </si>
  <si>
    <r>
      <t xml:space="preserve">Показатель 1 Административного мероприятия 3 задачи 2 подпрограммы 6 </t>
    </r>
    <r>
      <rPr>
        <sz val="11"/>
        <rFont val="Times New Roman"/>
        <family val="1"/>
      </rPr>
      <t>"Количество проведенных рабочих встреч для межведомственного анализа информации"</t>
    </r>
  </si>
  <si>
    <r>
      <t xml:space="preserve">Показатель 1 Административного мероприятия 3 задачи 6 подпрограммы 6 </t>
    </r>
    <r>
      <rPr>
        <sz val="11"/>
        <rFont val="Times New Roman"/>
        <family val="1"/>
      </rPr>
      <t>"Количество несовершеннолетних, принявших участие в общегородских мероприятиях, способствующих формированию навыков здорового образа жизни"</t>
    </r>
  </si>
  <si>
    <r>
      <t xml:space="preserve">Административное мероприятие 3 задачи 2 подпрограммы 6 </t>
    </r>
    <r>
      <rPr>
        <sz val="11"/>
        <rFont val="Times New Roman"/>
        <family val="1"/>
      </rPr>
      <t>"Проведение рабочих встреч под руководством КДН и ЗП для межведомственного анализа информации, необходимой для выявления проблем в организации профилактической работы с семьями, находящимися в трудной жизненной ситуации"</t>
    </r>
  </si>
  <si>
    <t>L</t>
  </si>
  <si>
    <r>
      <t>«</t>
    </r>
    <r>
      <rPr>
        <i/>
        <u val="single"/>
        <sz val="12"/>
        <rFont val="Times New Roman"/>
        <family val="1"/>
      </rPr>
      <t>РАЗВИТИЕ МУНИЦИПАЛЬНОЙ СИСТЕМЫ ОБРАЗОВАНИЯ на 2022 - 2027 годы</t>
    </r>
    <r>
      <rPr>
        <i/>
        <sz val="12"/>
        <rFont val="Times New Roman"/>
        <family val="1"/>
      </rPr>
      <t>»</t>
    </r>
  </si>
  <si>
    <t>Приложение 1 к муниципальной программе Осташковского городского округа Тверской области "Развитие муниципальной системы образования на 2022-2027 годы"</t>
  </si>
  <si>
    <r>
      <rPr>
        <b/>
        <sz val="11"/>
        <rFont val="Times New Roman"/>
        <family val="1"/>
      </rPr>
      <t>Мероприятие 1 задачи 4 подпрограммы 1</t>
    </r>
    <r>
      <rPr>
        <sz val="11"/>
        <rFont val="Times New Roman"/>
        <family val="1"/>
      </rPr>
      <t xml:space="preserve"> "Организация обеспечения горячим питанием отдельных категорий учащихся"</t>
    </r>
  </si>
  <si>
    <r>
      <rPr>
        <b/>
        <sz val="11"/>
        <rFont val="Times New Roman"/>
        <family val="1"/>
      </rPr>
      <t>Мероприятие 2 задачи 4 подпрограммы 1</t>
    </r>
    <r>
      <rPr>
        <sz val="11"/>
        <rFont val="Times New Roman"/>
        <family val="1"/>
      </rPr>
      <t xml:space="preserve"> "Обеспечение деятельности по подвозу питания"</t>
    </r>
  </si>
  <si>
    <r>
      <rPr>
        <b/>
        <sz val="11"/>
        <rFont val="Times New Roman"/>
        <family val="1"/>
      </rPr>
      <t xml:space="preserve">Мероприятие 3 задачи 4 подпрограммы 1 </t>
    </r>
    <r>
      <rPr>
        <sz val="11"/>
        <rFont val="Times New Roman"/>
        <family val="1"/>
      </rPr>
      <t xml:space="preserve">"Организация обеспечения учащихся начальных классов общеобразовательных организаций (учреждений) горячим питанием" </t>
    </r>
  </si>
  <si>
    <r>
      <rPr>
        <b/>
        <sz val="11"/>
        <rFont val="Times New Roman"/>
        <family val="1"/>
      </rPr>
      <t xml:space="preserve">Мероприятие 3 задачи 5 подпрограммы 1 </t>
    </r>
    <r>
      <rPr>
        <sz val="11"/>
        <rFont val="Times New Roman"/>
        <family val="1"/>
      </rPr>
      <t>"Субсидия из областного бюджета Тверской области на организацию участия детей и подростков в социально значимых региональных проектах , за счёт средст областного бюджета</t>
    </r>
  </si>
  <si>
    <r>
      <t>Показатель 1 мероприятия 3 задачи 5 подпрограммы 1</t>
    </r>
    <r>
      <rPr>
        <sz val="11"/>
        <rFont val="Times New Roman"/>
        <family val="1"/>
      </rPr>
      <t>"Количество детей и подростков, принявших участие в социально значимых региональных проектах</t>
    </r>
  </si>
  <si>
    <r>
      <rPr>
        <b/>
        <sz val="11"/>
        <rFont val="Times New Roman"/>
        <family val="1"/>
      </rPr>
      <t>Мероприятие 1 задачи 1 подпрограммы 4</t>
    </r>
    <r>
      <rPr>
        <sz val="11"/>
        <rFont val="Times New Roman"/>
        <family val="1"/>
      </rPr>
      <t xml:space="preserve"> "Осуществление  ремонтных и строительных работ в  ЗОЛ "Чайка" в т.ч. устранение нарушений по предписаниям и решениям суда"</t>
    </r>
  </si>
  <si>
    <r>
      <rPr>
        <b/>
        <sz val="11"/>
        <rFont val="Times New Roman"/>
        <family val="1"/>
      </rPr>
      <t>Мероприятие 2 задачи 1 подпрограммы 4</t>
    </r>
    <r>
      <rPr>
        <sz val="11"/>
        <rFont val="Times New Roman"/>
        <family val="1"/>
      </rPr>
      <t xml:space="preserve"> "Содержание и обеспечение деятельности ЗОЛ "Чайка" в рамках муниципального задания (задания учредителя)</t>
    </r>
  </si>
  <si>
    <r>
      <rPr>
        <b/>
        <sz val="11"/>
        <rFont val="Times New Roman"/>
        <family val="1"/>
      </rPr>
      <t>Мероприятие 3 задачи 1 подпрограммы 4</t>
    </r>
    <r>
      <rPr>
        <sz val="11"/>
        <rFont val="Times New Roman"/>
        <family val="1"/>
      </rPr>
      <t xml:space="preserve"> "Организация отдыха детей в каникулярное время в рамках муниципального задания (задания учредителя) областной бюджет </t>
    </r>
  </si>
  <si>
    <r>
      <rPr>
        <b/>
        <sz val="11"/>
        <rFont val="Times New Roman"/>
        <family val="1"/>
      </rPr>
      <t>Мероприятие 4 задачи 1 подпрограммы 4</t>
    </r>
    <r>
      <rPr>
        <sz val="11"/>
        <rFont val="Times New Roman"/>
        <family val="1"/>
      </rPr>
      <t xml:space="preserve"> "Организация отдыха детей в каникулярное время в лагерях за счет местного бюджета"</t>
    </r>
  </si>
  <si>
    <r>
      <rPr>
        <b/>
        <sz val="11"/>
        <rFont val="Times New Roman"/>
        <family val="1"/>
      </rPr>
      <t>Мероприятие 5 задачи 1 подпрограммы 4</t>
    </r>
    <r>
      <rPr>
        <sz val="11"/>
        <rFont val="Times New Roman"/>
        <family val="1"/>
      </rPr>
      <t xml:space="preserve"> "Содействие временной занятости несовершеннолетних граждан в каникулярное время"</t>
    </r>
  </si>
  <si>
    <r>
      <rPr>
        <b/>
        <sz val="11"/>
        <rFont val="Times New Roman"/>
        <family val="1"/>
      </rPr>
      <t>Показатель 1 задачи 2 подпрограммы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4</t>
    </r>
    <r>
      <rPr>
        <sz val="11"/>
        <rFont val="Times New Roman"/>
        <family val="1"/>
      </rPr>
      <t xml:space="preserve"> "Количество несчастных случаев с детьми, зафиксированных в лагерях дневного и загородного пребывания""</t>
    </r>
  </si>
  <si>
    <t>1022/100</t>
  </si>
  <si>
    <t>6132/100</t>
  </si>
  <si>
    <r>
      <rPr>
        <b/>
        <sz val="11"/>
        <rFont val="Times New Roman"/>
        <family val="1"/>
      </rPr>
      <t>Показатель 1 задачи 1 подпрограммы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6</t>
    </r>
    <r>
      <rPr>
        <sz val="11"/>
        <rFont val="Times New Roman"/>
        <family val="1"/>
      </rPr>
      <t xml:space="preserve"> «Количество несовершеннолетних, состоящих на учете в КДН и ЗП»</t>
    </r>
  </si>
  <si>
    <r>
      <rPr>
        <b/>
        <sz val="11"/>
        <rFont val="Times New Roman"/>
        <family val="1"/>
      </rPr>
      <t>Показатель 2 задачи 1 подпрограммы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6</t>
    </r>
    <r>
      <rPr>
        <sz val="11"/>
        <rFont val="Times New Roman"/>
        <family val="1"/>
      </rPr>
      <t xml:space="preserve"> «Общее количество несовершеннолетних, состоящих на  внутришкольном  учете» </t>
    </r>
  </si>
  <si>
    <r>
      <rPr>
        <b/>
        <sz val="11"/>
        <rFont val="Times New Roman"/>
        <family val="1"/>
      </rPr>
      <t>Показатель 3 задачи 1 подпрограммы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6</t>
    </r>
    <r>
      <rPr>
        <sz val="11"/>
        <rFont val="Times New Roman"/>
        <family val="1"/>
      </rPr>
      <t xml:space="preserve"> «Количество административных правонарушений, преступлений совершенных несовершеннолетними, состоящими на учете в КДН и ЗП»</t>
    </r>
  </si>
  <si>
    <t>220</t>
  </si>
  <si>
    <t>1320</t>
  </si>
  <si>
    <t>руб.</t>
  </si>
  <si>
    <r>
      <rPr>
        <b/>
        <sz val="11"/>
        <rFont val="Times New Roman"/>
        <family val="1"/>
      </rPr>
      <t xml:space="preserve"> Мероприятие 3 задачи 1 подпрограммы 2</t>
    </r>
    <r>
      <rPr>
        <sz val="11"/>
        <rFont val="Times New Roman"/>
        <family val="1"/>
      </rPr>
      <t xml:space="preserve"> "Обеспечение деятельности образовательных организаций (учреждений), реализующих программу дошкольного образования по оказанию услуг качественного дошкольного образования в рамках выполнения муниципального задания":                             за счёт средств областного бюджета</t>
    </r>
  </si>
  <si>
    <r>
      <t>Показатель 2  мероприятия 3 задачи 1 подпрограммы 2</t>
    </r>
    <r>
      <rPr>
        <sz val="11"/>
        <rFont val="Times New Roman"/>
        <family val="1"/>
      </rPr>
      <t xml:space="preserve"> "Средний размер субсидии на муниципальное задание муниципальных   дошкольных образовательных организаций (учреждений) в расчёте на 1 ребёнка"</t>
    </r>
  </si>
  <si>
    <r>
      <rPr>
        <b/>
        <sz val="11"/>
        <rFont val="Times New Roman"/>
        <family val="1"/>
      </rPr>
      <t>Показатель 1 мероприятия 2 задачи 1 подпрограммы 2</t>
    </r>
    <r>
      <rPr>
        <sz val="11"/>
        <rFont val="Times New Roman"/>
        <family val="1"/>
      </rPr>
      <t xml:space="preserve"> "Количество дошкольных образовательных организаций принявших участие в укреплении материально- технической базы"</t>
    </r>
  </si>
  <si>
    <r>
      <rPr>
        <b/>
        <sz val="11"/>
        <rFont val="Times New Roman"/>
        <family val="1"/>
      </rPr>
      <t>Показатель 1 мероприятия 4 задачи 2 подпрограммы 1</t>
    </r>
    <r>
      <rPr>
        <sz val="11"/>
        <rFont val="Times New Roman"/>
        <family val="1"/>
      </rPr>
      <t xml:space="preserve"> "Количество образовательных организаций принявших участие в укреплении материально-технической базы (по направлению: капитальный ремонт спортивных залов, капитальный ремонт кровель, комплексная безопасность зданий и помещений)</t>
    </r>
  </si>
  <si>
    <t>10,2/7,3</t>
  </si>
  <si>
    <r>
      <t xml:space="preserve">Показатель 1 мероприятия 2 задачи 2 подпрограммы 2 </t>
    </r>
    <r>
      <rPr>
        <sz val="11"/>
        <rFont val="Times New Roman"/>
        <family val="1"/>
      </rPr>
      <t>"Количество получателей, имеющих право на получение компенсации части родительской платы за содержание ребёнка (присмотр и уход за ребёнком) в организациях (учреждениях), реализующих основную образовательную программу дошкольного образования"</t>
    </r>
  </si>
  <si>
    <r>
      <t xml:space="preserve">Показатель 1 мероприятия 3 задачи 2 подпрограммы 2 </t>
    </r>
    <r>
      <rPr>
        <sz val="11"/>
        <rFont val="Times New Roman"/>
        <family val="1"/>
      </rPr>
      <t>"Количество  услуг психолого-педагогической, методической и консультативной помощи родителям (законным представителям) детей, а также гражданам, желающим принять на воспитание в свои семьи детей, оставшихся без попечения родителей, в том числе с привлечением некоммерческих организаций"</t>
    </r>
  </si>
  <si>
    <r>
      <rPr>
        <b/>
        <sz val="11"/>
        <rFont val="Times New Roman"/>
        <family val="1"/>
      </rPr>
      <t>Показатель 1 мероприятия 4 задачи 2 подпрограммы 2</t>
    </r>
    <r>
      <rPr>
        <sz val="11"/>
        <rFont val="Times New Roman"/>
        <family val="1"/>
      </rPr>
      <t xml:space="preserve"> "Доля граждан , положительно оценивших качество услуг психолого-педагогической, методической и консультативной помощи, от общего числа обратившихся за получением услуги"</t>
    </r>
  </si>
  <si>
    <r>
      <t xml:space="preserve">Показатель 1 мероприятия 5 задачи 1 подпрограммы 4 </t>
    </r>
    <r>
      <rPr>
        <sz val="11"/>
        <rFont val="Times New Roman"/>
        <family val="1"/>
      </rPr>
      <t>"Количество рабочих мест для  временной занятости несовершеннолетних  в каникулярное время"</t>
    </r>
  </si>
  <si>
    <r>
      <rPr>
        <b/>
        <sz val="11"/>
        <rFont val="Times New Roman"/>
        <family val="1"/>
      </rPr>
      <t>Показатель 1 мероприятия 4 задачи 1 подпрограммы 4</t>
    </r>
    <r>
      <rPr>
        <sz val="11"/>
        <rFont val="Times New Roman"/>
        <family val="1"/>
      </rPr>
      <t xml:space="preserve"> "Охват детей организованными формами отдыха в каникулярное время в рамках муниципального задания (местный бюджет)</t>
    </r>
  </si>
  <si>
    <r>
      <rPr>
        <b/>
        <sz val="11"/>
        <rFont val="Times New Roman"/>
        <family val="1"/>
      </rPr>
      <t xml:space="preserve">Показатель 1 мероприятия 3 задачи 1 подпрограммы 4 </t>
    </r>
    <r>
      <rPr>
        <sz val="11"/>
        <rFont val="Times New Roman"/>
        <family val="1"/>
      </rPr>
      <t>"Охват детей организованными формами отдыха в каникулярное время в рамках муниципального задания (задания учредителя)областной бюджет"</t>
    </r>
  </si>
  <si>
    <r>
      <t>Показатель 1 мероприятия 1 задачи 1 подпрограммы 4</t>
    </r>
    <r>
      <rPr>
        <sz val="11"/>
        <rFont val="Times New Roman"/>
        <family val="1"/>
      </rPr>
      <t xml:space="preserve"> "Объём мероприятий по осуществлению ремонтных и строительных работ в ЗОЛ "Чайка"</t>
    </r>
  </si>
  <si>
    <r>
      <t xml:space="preserve">Показатель 1 мероприятия 2 задачи 1 подпрограммы 4 </t>
    </r>
    <r>
      <rPr>
        <sz val="11"/>
        <rFont val="Times New Roman"/>
        <family val="1"/>
      </rPr>
      <t>"Количество мероприятий, обеспечивающих бесперебойное функциониропание ЗОЛ "Чайка"</t>
    </r>
  </si>
  <si>
    <r>
      <t>Показатель 1  мероприятия 3 задачи 1 подпрограммы 2</t>
    </r>
    <r>
      <rPr>
        <sz val="11"/>
        <rFont val="Times New Roman"/>
        <family val="1"/>
      </rPr>
      <t xml:space="preserve"> "Количество детей, обеспеченных услугами присмотра и ухода в муниципальных дошкольных образовательных организациях (учреждениях)"</t>
    </r>
  </si>
  <si>
    <r>
      <rPr>
        <b/>
        <sz val="11"/>
        <rFont val="Times New Roman"/>
        <family val="1"/>
      </rPr>
      <t>Показатель 2 мероприятия 4 задачи 2 подпрограммы 1</t>
    </r>
    <r>
      <rPr>
        <sz val="11"/>
        <rFont val="Times New Roman"/>
        <family val="1"/>
      </rPr>
      <t xml:space="preserve"> "Доля обучающихся образовательных организаций, в которых проведено мероприятия по укреплению материально-технической базы, в общей численности обучающихся общеобразовательных организаций муниципального образования"</t>
    </r>
  </si>
  <si>
    <r>
      <rPr>
        <b/>
        <sz val="11"/>
        <rFont val="Times New Roman"/>
        <family val="1"/>
      </rPr>
      <t>Показатель 1 мероприятия 1 задачи 3 подпрограммы 3</t>
    </r>
    <r>
      <rPr>
        <sz val="11"/>
        <rFont val="Times New Roman"/>
        <family val="1"/>
      </rPr>
      <t xml:space="preserve"> "Количество образовательных организаций(учреждений) общего образования, в которых установлено водоочистное оборудование"</t>
    </r>
  </si>
  <si>
    <r>
      <rPr>
        <b/>
        <sz val="11"/>
        <rFont val="Times New Roman"/>
        <family val="1"/>
      </rPr>
      <t>Показатель 1 мероприятия 1 задачи 4 подпрограммы 1</t>
    </r>
    <r>
      <rPr>
        <sz val="11"/>
        <rFont val="Times New Roman"/>
        <family val="1"/>
      </rPr>
      <t xml:space="preserve"> "Количество учащихся (отдельных категорий) , обеспеченных горячим питанием"</t>
    </r>
  </si>
  <si>
    <r>
      <rPr>
        <b/>
        <sz val="11"/>
        <rFont val="Times New Roman"/>
        <family val="1"/>
      </rPr>
      <t xml:space="preserve">Показатель 1 мероприятия 2 задачи 4 подпрограммы 1 </t>
    </r>
    <r>
      <rPr>
        <sz val="11"/>
        <rFont val="Times New Roman"/>
        <family val="1"/>
      </rPr>
      <t>" Количество общеобразовательных организаций (учреждений), в которых обеспечен подвоз питания"</t>
    </r>
  </si>
  <si>
    <r>
      <rPr>
        <b/>
        <sz val="11"/>
        <rFont val="Times New Roman"/>
        <family val="1"/>
      </rPr>
      <t>Показатель 1 мероприятия 3 задачи 4 подпрограммы 1</t>
    </r>
    <r>
      <rPr>
        <sz val="11"/>
        <rFont val="Times New Roman"/>
        <family val="1"/>
      </rPr>
      <t xml:space="preserve"> "Количество учащихся начальных классов общеобразовательных организаций (учреждений), обеспеченных горячим питанием"</t>
    </r>
  </si>
  <si>
    <t>0</t>
  </si>
  <si>
    <t>6</t>
  </si>
  <si>
    <r>
      <rPr>
        <b/>
        <sz val="11"/>
        <rFont val="Times New Roman"/>
        <family val="1"/>
      </rPr>
      <t xml:space="preserve">Мероприятие 4 задачи 5 подпрограммы 1 </t>
    </r>
    <r>
      <rPr>
        <sz val="11"/>
        <rFont val="Times New Roman"/>
        <family val="1"/>
      </rPr>
      <t>"Независимая оценка качества образования, за счёт средств местного бюджета</t>
    </r>
  </si>
  <si>
    <r>
      <t>Показатель 1 мероприятия 4 задачи 5 подпрограммы 1</t>
    </r>
    <r>
      <rPr>
        <sz val="11"/>
        <rFont val="Times New Roman"/>
        <family val="1"/>
      </rPr>
      <t>"Количество организаций, принявших участие в независимой оценке качества образования</t>
    </r>
  </si>
  <si>
    <r>
      <rPr>
        <b/>
        <sz val="11"/>
        <rFont val="Times New Roman"/>
        <family val="1"/>
      </rPr>
      <t>Показатель 1 мероприятия 5 задачи 2 подпрограммы 1</t>
    </r>
    <r>
      <rPr>
        <sz val="11"/>
        <rFont val="Times New Roman"/>
        <family val="1"/>
      </rPr>
      <t xml:space="preserve"> "Количество организаций, принявших участие в реализации проектов в рамках поддержки школьных инициатив Тверской области"</t>
    </r>
  </si>
  <si>
    <r>
      <rPr>
        <b/>
        <sz val="11"/>
        <rFont val="Times New Roman"/>
        <family val="1"/>
      </rPr>
      <t>Мероприятие 6 задачи 2 подпрограммы 1</t>
    </r>
    <r>
      <rPr>
        <sz val="11"/>
        <rFont val="Times New Roman"/>
        <family val="1"/>
      </rPr>
      <t xml:space="preserve"> "Реализация проектов в рамках поддержки школьных инициатив Тверской области" за счет средств местного бюджета</t>
    </r>
  </si>
  <si>
    <r>
      <rPr>
        <b/>
        <sz val="11"/>
        <rFont val="Times New Roman"/>
        <family val="1"/>
      </rPr>
      <t>Мероприятие 5 задачи 2 подпрограммы 1</t>
    </r>
    <r>
      <rPr>
        <sz val="11"/>
        <rFont val="Times New Roman"/>
        <family val="1"/>
      </rPr>
      <t xml:space="preserve"> "Реализация проектов в рамках поддержки школьных инициатив Тверской области" за счет средств областного бюджета</t>
    </r>
  </si>
  <si>
    <r>
      <rPr>
        <b/>
        <sz val="11"/>
        <rFont val="Times New Roman"/>
        <family val="1"/>
      </rPr>
      <t>Показатель 1 мероприятия 6 задачи 2 подпрограммы 1</t>
    </r>
    <r>
      <rPr>
        <sz val="11"/>
        <rFont val="Times New Roman"/>
        <family val="1"/>
      </rPr>
      <t xml:space="preserve"> "Количество организаций, принявших участие в реализации проектов в рамках поддержки школьных инициатив Тверской области"</t>
    </r>
  </si>
  <si>
    <r>
      <rPr>
        <b/>
        <sz val="11"/>
        <rFont val="Times New Roman"/>
        <family val="1"/>
      </rPr>
      <t>Показатель 1 мероприятия 7 задачи 2 подпрограммы 1</t>
    </r>
    <r>
      <rPr>
        <sz val="11"/>
        <rFont val="Times New Roman"/>
        <family val="1"/>
      </rPr>
      <t xml:space="preserve"> "Количество организаций, принявших участие в реализации мероприятий"</t>
    </r>
  </si>
  <si>
    <r>
      <rPr>
        <b/>
        <sz val="11"/>
        <rFont val="Times New Roman"/>
        <family val="1"/>
      </rPr>
      <t>Мероприятие 7 задачи 2 подпрограммы 1</t>
    </r>
    <r>
      <rPr>
        <sz val="11"/>
        <rFont val="Times New Roman"/>
        <family val="1"/>
      </rPr>
      <t xml:space="preserve"> "Расходы за счет средств, полученных из областного бюджета Тверской области, на реализацию мероприятий по обращениям, поступающим к депутатам Законодательного Собрания Тверской области"</t>
    </r>
  </si>
  <si>
    <r>
      <rPr>
        <b/>
        <sz val="11"/>
        <rFont val="Times New Roman"/>
        <family val="1"/>
      </rPr>
      <t>Мероприятие 2 задачи 1 подпрограммы 2</t>
    </r>
    <r>
      <rPr>
        <sz val="11"/>
        <rFont val="Times New Roman"/>
        <family val="1"/>
      </rPr>
      <t xml:space="preserve"> "Расходы на укрепление материально- технической базы дошкольных образовательный организаций (по направлению: капитальный ремонт кровель, замена оконных блоков)</t>
    </r>
  </si>
  <si>
    <r>
      <rPr>
        <b/>
        <sz val="11"/>
        <rFont val="Times New Roman"/>
        <family val="1"/>
      </rPr>
      <t xml:space="preserve">Показатель 1 мероприятия 4 задачи 1 подпрограммы 2 </t>
    </r>
    <r>
      <rPr>
        <sz val="11"/>
        <rFont val="Times New Roman"/>
        <family val="1"/>
      </rPr>
      <t>"количество организаций, в которых будут проведены мероприятия по оснащению муниципальных дошкольных образовательных организаций уличными игровыми комплексами"</t>
    </r>
  </si>
  <si>
    <r>
      <rPr>
        <b/>
        <sz val="11"/>
        <rFont val="Times New Roman"/>
        <family val="1"/>
      </rPr>
      <t>Показатель 2 мероприятия 4 задачи 2 подпрограммы 2</t>
    </r>
    <r>
      <rPr>
        <sz val="11"/>
        <rFont val="Times New Roman"/>
        <family val="1"/>
      </rPr>
      <t xml:space="preserve"> "доля воспитанников дошкольных образовательных организаций, в которых проведены мероприятия по оснащению муниципальных дошкольных образовательных организаций уличными игровыми комплексами, в общей численности воспитанников дошкольных образовательных организаций муниципального образования Тверской области"</t>
    </r>
  </si>
  <si>
    <r>
      <rPr>
        <b/>
        <sz val="11"/>
        <rFont val="Times New Roman"/>
        <family val="1"/>
      </rPr>
      <t>Мероприятие 4 задачи 1 подпрограммы 2</t>
    </r>
    <r>
      <rPr>
        <sz val="11"/>
        <rFont val="Times New Roman"/>
        <family val="1"/>
      </rPr>
      <t xml:space="preserve"> "Оснащение муниципальных образовательных организаций, реализующих программы дошкольного образования, уличными игровыми комплексами за счет средств областного бюджета"</t>
    </r>
  </si>
  <si>
    <r>
      <rPr>
        <b/>
        <sz val="11"/>
        <rFont val="Times New Roman"/>
        <family val="1"/>
      </rPr>
      <t>Мероприятие 6 задачи 1 подпрограммы 1</t>
    </r>
    <r>
      <rPr>
        <sz val="11"/>
        <rFont val="Times New Roman"/>
        <family val="1"/>
      </rPr>
      <t xml:space="preserve"> "Субсидии на осуществление единовременной выплаты к началу учебного года работникам муниципальных образовательных организаций за счёт местного бюджета"</t>
    </r>
  </si>
  <si>
    <r>
      <rPr>
        <b/>
        <sz val="11"/>
        <rFont val="Times New Roman"/>
        <family val="1"/>
      </rPr>
      <t>Мероприятие 8 задачи 1 подпрограммы 1</t>
    </r>
    <r>
      <rPr>
        <sz val="11"/>
        <rFont val="Times New Roman"/>
        <family val="1"/>
      </rPr>
      <t xml:space="preserve"> "Субсидии на осуществление единовременной выплаты к началу учебного года работникам муниципальных образовательных организаций за счёт областного бюджета"</t>
    </r>
  </si>
  <si>
    <r>
      <rPr>
        <b/>
        <sz val="11"/>
        <rFont val="Times New Roman"/>
        <family val="1"/>
      </rPr>
      <t xml:space="preserve"> Мероприятие 5 задачи 1 подпрограммы 2</t>
    </r>
    <r>
      <rPr>
        <sz val="11"/>
        <rFont val="Times New Roman"/>
        <family val="1"/>
      </rPr>
      <t xml:space="preserve"> "Субсидии на осуществление единовременной выплаты к началу учебного года работникам муниципальных образовательных организаций за счёт местного бюджета"</t>
    </r>
  </si>
  <si>
    <r>
      <rPr>
        <b/>
        <sz val="11"/>
        <rFont val="Times New Roman"/>
        <family val="1"/>
      </rPr>
      <t xml:space="preserve"> Мероприятие 6 задачи 1 подпрограммы 2</t>
    </r>
    <r>
      <rPr>
        <sz val="11"/>
        <rFont val="Times New Roman"/>
        <family val="1"/>
      </rPr>
      <t xml:space="preserve"> "Субсидии на осуществление единовременной выплаты к началу учебного года работникам муниципальных образовательных организаций за счёт областного бюджета"</t>
    </r>
  </si>
  <si>
    <t>2023</t>
  </si>
  <si>
    <t>Е</t>
  </si>
  <si>
    <r>
      <rPr>
        <b/>
        <sz val="11"/>
        <rFont val="Times New Roman"/>
        <family val="1"/>
      </rPr>
      <t>Мероприятие 8 задачи 2 подпрограммы 1</t>
    </r>
    <r>
      <rPr>
        <sz val="11"/>
        <rFont val="Times New Roman"/>
        <family val="1"/>
      </rPr>
      <t xml:space="preserve"> "Обновление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организациях" за счет средств местного бюджета</t>
    </r>
  </si>
  <si>
    <t>за счет средств федерального бюджета</t>
  </si>
  <si>
    <r>
      <rPr>
        <b/>
        <sz val="11"/>
        <rFont val="Times New Roman"/>
        <family val="1"/>
      </rPr>
      <t>Показатель 1 мероприятия 8 задачи 2 подпрограммы 1</t>
    </r>
    <r>
      <rPr>
        <sz val="11"/>
        <rFont val="Times New Roman"/>
        <family val="1"/>
      </rPr>
      <t xml:space="preserve"> "Количество организаций, принявших участие в реализации проектов в рамках поддержки школьных инициатив Тверской области"</t>
    </r>
  </si>
  <si>
    <r>
      <rPr>
        <b/>
        <sz val="11"/>
        <rFont val="Times New Roman"/>
        <family val="1"/>
      </rPr>
      <t>Показатель 1 мероприятия 4 задачи 1 подпрограммы 2</t>
    </r>
    <r>
      <rPr>
        <sz val="11"/>
        <rFont val="Times New Roman"/>
        <family val="1"/>
      </rPr>
      <t xml:space="preserve"> "Количество организаций, в которых будут проведены мероприятия по оснащению муниципальных дошкольных образовательных организаций уличными игровыми комплексами"</t>
    </r>
  </si>
  <si>
    <r>
      <rPr>
        <b/>
        <sz val="11"/>
        <rFont val="Times New Roman"/>
        <family val="1"/>
      </rPr>
      <t>Мероприятие 5 задачи 1 подпрограммы 2</t>
    </r>
    <r>
      <rPr>
        <sz val="11"/>
        <rFont val="Times New Roman"/>
        <family val="1"/>
      </rPr>
      <t xml:space="preserve"> "Оснащение муниципальных образовательных организаций, реализующих программы дошкольного образования, уличными игровыми комплексами" за счет средств местного бюджета</t>
    </r>
  </si>
  <si>
    <r>
      <rPr>
        <b/>
        <sz val="11"/>
        <rFont val="Times New Roman"/>
        <family val="1"/>
      </rPr>
      <t>Показатель 1 мероприятия 5 задачи 1 подпрограммы 2</t>
    </r>
    <r>
      <rPr>
        <sz val="11"/>
        <rFont val="Times New Roman"/>
        <family val="1"/>
      </rPr>
      <t xml:space="preserve"> "Количество организаций, в которых будут проведены мероприятия по оснащению уличными игровыми комплексами" за счет средств местного бюджета</t>
    </r>
  </si>
  <si>
    <r>
      <rPr>
        <b/>
        <sz val="11"/>
        <rFont val="Times New Roman"/>
        <family val="1"/>
      </rPr>
      <t xml:space="preserve">Показатель 1 мероприятия 6 задачи 1 подпрограммы 1 </t>
    </r>
    <r>
      <rPr>
        <sz val="11"/>
        <rFont val="Times New Roman"/>
        <family val="1"/>
      </rPr>
      <t>"Количество организаций, получающих субсидию на осуществление единовременной выплаты к началу учебного года работникам муниципальных образовательных организаций за счёт местного бюджета"</t>
    </r>
  </si>
  <si>
    <r>
      <rPr>
        <b/>
        <sz val="11"/>
        <rFont val="Times New Roman"/>
        <family val="1"/>
      </rPr>
      <t xml:space="preserve">Показатель 1 мероприятия 8 задачи 1 подпрограммы 1 </t>
    </r>
    <r>
      <rPr>
        <sz val="11"/>
        <rFont val="Times New Roman"/>
        <family val="1"/>
      </rPr>
      <t>"Количество организаций, получающих субсидию на осуществление единовременной выплаты к началу учебного года работникам муниципальных образовательных организаций за счёт областного бюджета"</t>
    </r>
  </si>
  <si>
    <r>
      <rPr>
        <b/>
        <sz val="11"/>
        <rFont val="Times New Roman"/>
        <family val="1"/>
      </rPr>
      <t>Показатель 1 мероприятия 5 задачи 1 подпрограммы 2</t>
    </r>
    <r>
      <rPr>
        <sz val="11"/>
        <rFont val="Times New Roman"/>
        <family val="1"/>
      </rPr>
      <t xml:space="preserve"> "Количество организаций, получающих субсидию на осуществление единовременной выплаты к началу учебного года работникам муниципальных образовательных организаций" за счет средств местного бюджета</t>
    </r>
  </si>
  <si>
    <r>
      <rPr>
        <b/>
        <sz val="11"/>
        <rFont val="Times New Roman"/>
        <family val="1"/>
      </rPr>
      <t>Показатель 1 мероприятия 6 задачи 1 подпрограммы 2</t>
    </r>
    <r>
      <rPr>
        <sz val="11"/>
        <rFont val="Times New Roman"/>
        <family val="1"/>
      </rPr>
      <t xml:space="preserve"> "Количество организаций, получающих субсидию на осуществление единовременной выплаты к началу учебного года работникам муниципальных образовательных организаций" за счет средств областного бюджета</t>
    </r>
  </si>
  <si>
    <r>
      <rPr>
        <b/>
        <sz val="11"/>
        <rFont val="Times New Roman"/>
        <family val="1"/>
      </rPr>
      <t>Показатель 1 задачи 3 подпрограммы 3</t>
    </r>
    <r>
      <rPr>
        <sz val="11"/>
        <rFont val="Times New Roman"/>
        <family val="1"/>
      </rPr>
      <t xml:space="preserve"> "Количество образовательных организаций (учреждений) дошкольного  образования, с обеспеченой экологической безопасностью"</t>
    </r>
  </si>
  <si>
    <r>
      <rPr>
        <b/>
        <sz val="11"/>
        <rFont val="Times New Roman"/>
        <family val="1"/>
      </rPr>
      <t>Показатель 1 задачи 4 подпрограммы 3</t>
    </r>
    <r>
      <rPr>
        <sz val="11"/>
        <rFont val="Times New Roman"/>
        <family val="1"/>
      </rPr>
      <t xml:space="preserve"> "Количество образовательных организаций (учреждений) дошкольного  образования, повысивших уровень охраны труда"</t>
    </r>
  </si>
  <si>
    <r>
      <rPr>
        <b/>
        <sz val="11"/>
        <rFont val="Times New Roman"/>
        <family val="1"/>
      </rPr>
      <t>Показатель 1 задачи 1 подпрограммы 5</t>
    </r>
    <r>
      <rPr>
        <sz val="11"/>
        <rFont val="Times New Roman"/>
        <family val="1"/>
      </rPr>
      <t xml:space="preserve"> "Количество выявленных и сопровождаемых одаренных детей для их специальной поддержки"</t>
    </r>
  </si>
  <si>
    <r>
      <rPr>
        <b/>
        <sz val="11"/>
        <rFont val="Times New Roman"/>
        <family val="1"/>
      </rPr>
      <t>Показатель 1 задачи 2 подпрограммы 5</t>
    </r>
    <r>
      <rPr>
        <sz val="11"/>
        <rFont val="Times New Roman"/>
        <family val="1"/>
      </rPr>
      <t xml:space="preserve"> "Количество творчески активных участников образовательного процесса"</t>
    </r>
  </si>
  <si>
    <r>
      <rPr>
        <b/>
        <sz val="11"/>
        <rFont val="Times New Roman"/>
        <family val="1"/>
      </rPr>
      <t>Показатель 2 мероприятия 9 задачи 2 подпрограммы 1</t>
    </r>
    <r>
      <rPr>
        <sz val="11"/>
        <rFont val="Times New Roman"/>
        <family val="1"/>
      </rPr>
      <t xml:space="preserve"> "Доля обучающихся образовательных организаций, в которых проведено мероприятия по укреплению материально-технической базы, в общей численности обучающихся общеобразовательных организаций муниципального образования"</t>
    </r>
  </si>
  <si>
    <r>
      <rPr>
        <b/>
        <sz val="11"/>
        <rFont val="Times New Roman"/>
        <family val="1"/>
      </rPr>
      <t xml:space="preserve"> Мероприятие 7 задачи 1 подпрограммы 2</t>
    </r>
    <r>
      <rPr>
        <sz val="11"/>
        <rFont val="Times New Roman"/>
        <family val="1"/>
      </rPr>
      <t xml:space="preserve"> "Субсидии на укрепление материально-технической базы дошкольных образовательных учреждений по направлению "капитальный ремонт кровель" за счёт областного бюджета</t>
    </r>
  </si>
  <si>
    <r>
      <rPr>
        <b/>
        <sz val="11"/>
        <rFont val="Times New Roman"/>
        <family val="1"/>
      </rPr>
      <t>Показатель 1 мероприятия 7 задачи 1 подпрограммы 2</t>
    </r>
    <r>
      <rPr>
        <sz val="11"/>
        <rFont val="Times New Roman"/>
        <family val="1"/>
      </rPr>
      <t xml:space="preserve"> "Количество организаций, получающих субсидию на укрепление материально-технической базы дошкольных образовательных учреждений по направлению: капитальный ремонт кровель"" за счет средств областного бюджета</t>
    </r>
  </si>
  <si>
    <r>
      <rPr>
        <b/>
        <sz val="11"/>
        <rFont val="Times New Roman"/>
        <family val="1"/>
      </rPr>
      <t>Мероприятие 6 задачи 1 подпрограммы 4</t>
    </r>
    <r>
      <rPr>
        <sz val="11"/>
        <rFont val="Times New Roman"/>
        <family val="1"/>
      </rPr>
      <t xml:space="preserve"> "Расходы на курепление материтально-технической базы ЗОЛ "Чайка" в рамках муниципального задания (задания учредителя)</t>
    </r>
  </si>
  <si>
    <r>
      <t xml:space="preserve">Показатель 1 мероприятия 6 задачи 1 подпрограммы 4 </t>
    </r>
    <r>
      <rPr>
        <sz val="11"/>
        <rFont val="Times New Roman"/>
        <family val="1"/>
      </rPr>
      <t>" Количество мероприятий по укреплению материально-технической базы муниципальных организаций отдыха и оздоровления детей"</t>
    </r>
  </si>
  <si>
    <r>
      <rPr>
        <b/>
        <sz val="11"/>
        <rFont val="Times New Roman"/>
        <family val="1"/>
      </rPr>
      <t>Мероприятие 5 задачи 1 подпрограммы 1</t>
    </r>
    <r>
      <rPr>
        <sz val="11"/>
        <rFont val="Times New Roman"/>
        <family val="1"/>
      </rPr>
      <t xml:space="preserve"> "Ежемесячное денежное вознаграждение за классное руководство педагогическим работникам муниципальных общеобразовательных организаций"</t>
    </r>
  </si>
  <si>
    <r>
      <rPr>
        <b/>
        <sz val="11"/>
        <rFont val="Times New Roman"/>
        <family val="1"/>
      </rPr>
      <t xml:space="preserve">Показатель 1 мероприятия 5 задачи 1 подпрограммы 1 </t>
    </r>
    <r>
      <rPr>
        <sz val="11"/>
        <rFont val="Times New Roman"/>
        <family val="1"/>
      </rPr>
      <t>"Количество педагогических работников, получающих ежемесячное денежное вознаграждение за классное руководство"</t>
    </r>
  </si>
  <si>
    <r>
      <rPr>
        <b/>
        <sz val="11"/>
        <rFont val="Times New Roman"/>
        <family val="1"/>
      </rPr>
      <t xml:space="preserve">Показатель 1 мероприятия 10 задачи 1 подпрограммы 1 </t>
    </r>
    <r>
      <rPr>
        <sz val="11"/>
        <rFont val="Times New Roman"/>
        <family val="1"/>
      </rPr>
      <t>"Количество советников по воспитательной работе, получающих ежемесячное денежное вознаграждение"</t>
    </r>
  </si>
  <si>
    <r>
      <rPr>
        <b/>
        <sz val="11"/>
        <rFont val="Times New Roman"/>
        <family val="1"/>
      </rPr>
      <t xml:space="preserve">Показатель 1 мероприятия 9 задачи 1 подпрограммы 1 </t>
    </r>
    <r>
      <rPr>
        <sz val="11"/>
        <rFont val="Times New Roman"/>
        <family val="1"/>
      </rPr>
      <t>"Количество организаций, получающих субсидию на осуществление единовременной выплаты к началу учебного года работникам муниципальных образовательных организаций за счёт областного бюджета"</t>
    </r>
  </si>
  <si>
    <r>
      <rPr>
        <b/>
        <sz val="11"/>
        <rFont val="Times New Roman"/>
        <family val="1"/>
      </rPr>
      <t>Мероприятие 9 задачи 1 подпрограммы 1</t>
    </r>
    <r>
      <rPr>
        <sz val="11"/>
        <rFont val="Times New Roman"/>
        <family val="1"/>
      </rPr>
      <t xml:space="preserve"> "Субсидии на осуществление единовременной выплаты к началу учебного года работникам муниципальных образовательных организаций за счёт областного бюджета"</t>
    </r>
  </si>
  <si>
    <r>
      <rPr>
        <b/>
        <sz val="11"/>
        <rFont val="Times New Roman"/>
        <family val="1"/>
      </rPr>
      <t xml:space="preserve">Показатель 1 мероприятия 7 задачи 1 подпрограммы 1 </t>
    </r>
    <r>
      <rPr>
        <sz val="11"/>
        <rFont val="Times New Roman"/>
        <family val="1"/>
      </rPr>
      <t>"Количество организаций, получающих субсидию на осуществление единовременной выплаты к началу учебного года работникам муниципальных образовательных организаций за счёт местного бюджета"</t>
    </r>
  </si>
  <si>
    <r>
      <rPr>
        <b/>
        <sz val="11"/>
        <rFont val="Times New Roman"/>
        <family val="1"/>
      </rPr>
      <t>Мероприятие 7 задачи 1 подпрограммы 1</t>
    </r>
    <r>
      <rPr>
        <sz val="11"/>
        <rFont val="Times New Roman"/>
        <family val="1"/>
      </rPr>
      <t xml:space="preserve"> "Субсидии на осуществление единовременной выплаты к началу учебного года работникам муниципальных образовательных организаций за счёт местного бюджета"</t>
    </r>
  </si>
  <si>
    <r>
      <rPr>
        <b/>
        <sz val="11"/>
        <rFont val="Times New Roman"/>
        <family val="1"/>
      </rPr>
      <t>Мероприятие 10 задачи 1 подпрограммы 1</t>
    </r>
    <r>
      <rPr>
        <sz val="11"/>
        <rFont val="Times New Roman"/>
        <family val="1"/>
      </rPr>
      <t xml:space="preserve"> "Ежемесячное денежное вознаграждение советникам по воспитательной работе муниципальных общеобразовательных организаций"</t>
    </r>
  </si>
  <si>
    <r>
      <t>Подпрограмма 3.</t>
    </r>
    <r>
      <rPr>
        <sz val="11"/>
        <rFont val="Times New Roman"/>
        <family val="1"/>
      </rPr>
      <t>"Обеспечение комплексной безопасности образовательных организаций (учреждений) Осташковского городского округа</t>
    </r>
  </si>
  <si>
    <r>
      <rPr>
        <b/>
        <sz val="11"/>
        <rFont val="Times New Roman"/>
        <family val="1"/>
      </rPr>
      <t>Показатель 2 мероприятия 2 задачи 1 подпрограммы 2</t>
    </r>
    <r>
      <rPr>
        <sz val="11"/>
        <rFont val="Times New Roman"/>
        <family val="1"/>
      </rPr>
      <t xml:space="preserve"> "Доля  воспитанников дошкольных образовательных организаций, в которых проведено мероприятия по укреплению материально-технической базы, в общей численности воспитанников дошкольных образовательных организаций муниципального образования"</t>
    </r>
  </si>
  <si>
    <r>
      <rPr>
        <b/>
        <sz val="11"/>
        <rFont val="Times New Roman"/>
        <family val="1"/>
      </rPr>
      <t>Показатель 1 задачи 2 административного мероприятия 1 подпрограммы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5</t>
    </r>
    <r>
      <rPr>
        <sz val="11"/>
        <rFont val="Times New Roman"/>
        <family val="1"/>
      </rPr>
      <t xml:space="preserve"> "Количество обучающихся – участников конкурсных процедур на получение поощрений за инновационную деятельность в общей численности детей школьного возраста"</t>
    </r>
  </si>
  <si>
    <r>
      <rPr>
        <b/>
        <sz val="11"/>
        <rFont val="Times New Roman"/>
        <family val="1"/>
      </rPr>
      <t>Показатель 1 задачи 2 подпрограммы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6</t>
    </r>
    <r>
      <rPr>
        <sz val="11"/>
        <rFont val="Times New Roman"/>
        <family val="1"/>
      </rPr>
      <t xml:space="preserve"> «Количество мероприятий, совместно проведенных субъектами профилактики»</t>
    </r>
  </si>
  <si>
    <r>
      <rPr>
        <b/>
        <sz val="11"/>
        <rFont val="Times New Roman"/>
        <family val="1"/>
      </rPr>
      <t xml:space="preserve">Показатель 1 задачи 3 подпрограммы 6 </t>
    </r>
    <r>
      <rPr>
        <sz val="11"/>
        <rFont val="Times New Roman"/>
        <family val="1"/>
      </rPr>
      <t>«Количество  подучетных несовершеннолетних, систематически посещающих спортивные секции, кружки.»</t>
    </r>
  </si>
  <si>
    <r>
      <rPr>
        <b/>
        <sz val="11"/>
        <rFont val="Times New Roman"/>
        <family val="1"/>
      </rPr>
      <t>Показатель 2 задачи 3 подпрограммы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 xml:space="preserve">6 </t>
    </r>
    <r>
      <rPr>
        <sz val="11"/>
        <rFont val="Times New Roman"/>
        <family val="1"/>
      </rPr>
      <t>«Количество  подучетных несовершеннолетних, трудоустроенных   при обращении, в том числе в каникулярный период»</t>
    </r>
  </si>
  <si>
    <r>
      <rPr>
        <b/>
        <sz val="11"/>
        <rFont val="Times New Roman"/>
        <family val="1"/>
      </rPr>
      <t>Показатель 1 задачи 4 подпрограммы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 xml:space="preserve">6 </t>
    </r>
    <r>
      <rPr>
        <sz val="11"/>
        <rFont val="Times New Roman"/>
        <family val="1"/>
      </rPr>
      <t>«Количество семей, состоящих на учете в КДН и ЗП»</t>
    </r>
  </si>
  <si>
    <r>
      <rPr>
        <b/>
        <sz val="11"/>
        <rFont val="Times New Roman"/>
        <family val="1"/>
      </rPr>
      <t>Показатель 2 задачи 4 подпрограммы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 xml:space="preserve">6 </t>
    </r>
    <r>
      <rPr>
        <sz val="11"/>
        <rFont val="Times New Roman"/>
        <family val="1"/>
      </rPr>
      <t>«Количество учреждений, ведущих профилактическую работу по предупреждению семейного неблагополучия»</t>
    </r>
  </si>
  <si>
    <r>
      <rPr>
        <b/>
        <sz val="11"/>
        <rFont val="Times New Roman"/>
        <family val="1"/>
      </rPr>
      <t xml:space="preserve">Показатель 3 задачи 4 подпрограммы 6 </t>
    </r>
    <r>
      <rPr>
        <sz val="11"/>
        <rFont val="Times New Roman"/>
        <family val="1"/>
      </rPr>
      <t>«Количество семей, дети из которых временно помещены в  государственные учреждения».</t>
    </r>
  </si>
  <si>
    <r>
      <rPr>
        <b/>
        <sz val="11"/>
        <rFont val="Times New Roman"/>
        <family val="1"/>
      </rPr>
      <t xml:space="preserve">Показатель 1 задачи 5 подпрограммы 6 </t>
    </r>
    <r>
      <rPr>
        <sz val="11"/>
        <rFont val="Times New Roman"/>
        <family val="1"/>
      </rPr>
      <t>«Количество видов информационных материалов»</t>
    </r>
  </si>
  <si>
    <r>
      <rPr>
        <b/>
        <sz val="11"/>
        <rFont val="Times New Roman"/>
        <family val="1"/>
      </rPr>
      <t>Мероприятие 4 задачи 2 подпрограммы 1</t>
    </r>
    <r>
      <rPr>
        <sz val="11"/>
        <rFont val="Times New Roman"/>
        <family val="1"/>
      </rPr>
      <t xml:space="preserve"> "Расходы на укрепление материально-технической базы муниципальных общеобразовательных организаций (по направлению: капитальный ремонт спортивных залов, капитальный ремонт кровель, комплексная безопасность зданий и помещений) за счёт местного бюджета</t>
    </r>
  </si>
  <si>
    <t>"Расходы на укрепление материально-технической базы муниципальных общеобразовательных организаций (по направлению: капитальный ремонт спортивных залов, капитальный ремонт кровель, комплексная безопасность зданий и помещений) за счёт областного бюджета</t>
  </si>
  <si>
    <r>
      <t>З</t>
    </r>
    <r>
      <rPr>
        <b/>
        <sz val="11"/>
        <rFont val="Times New Roman"/>
        <family val="1"/>
      </rPr>
      <t>адача 2 подпрограммы 1</t>
    </r>
    <r>
      <rPr>
        <sz val="11"/>
        <rFont val="Times New Roman"/>
        <family val="1"/>
      </rPr>
      <t xml:space="preserve"> "Развитие инфраструктуры общеобразовательных  организаций (учреждений) и организаций (учреждений) дополнительного образования Осташковского городского округа в соответствии с требованиями действующего законодательства в целях обеспечения качества условий предоставления образовательных услуг"</t>
    </r>
  </si>
  <si>
    <t>Мероприятие 1 задачи 2 подпрограммы 1 "Содействие муниципальным общеобразовательным организациям (учреждениям) в проведении капитального и текущего ремонта зданий и помещений, находящихся в муниципальной собственности, используемых для предоставления услуг начального общего, основного общего, среднего общего образования, в том числе устранение правонарушений по предписаниям и решениям суда" за счет средств местного бюджета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</si>
</sst>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0.0000"/>
    <numFmt numFmtId="181" formatCode="[$-FC19]d\ mmmm\ yyyy\ &quot;г.&quot;"/>
    <numFmt numFmtId="182" formatCode="#,##0.00\ _₽;[Red]#,##0.00\ _₽"/>
    <numFmt numFmtId="183" formatCode="#,##0.00;[Red]#,##0.00"/>
    <numFmt numFmtId="184" formatCode="0.00;[Red]0.00"/>
    <numFmt numFmtId="185" formatCode="0;[Red]0"/>
    <numFmt numFmtId="186" formatCode="#,##0;[Red]#,##0"/>
    <numFmt numFmtId="187" formatCode="0.0;[Red]0.0"/>
    <numFmt numFmtId="188" formatCode="#,##0.00_ ;\-#,##0.00\ "/>
    <numFmt numFmtId="189" formatCode="#,##0.0\ _₽;[Red]#,##0.0\ _₽"/>
    <numFmt numFmtId="190" formatCode="#,##0\ _₽;[Red]#,##0\ _₽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i/>
      <u val="single"/>
      <sz val="11"/>
      <name val="Times New Roman"/>
      <family val="1"/>
    </font>
    <font>
      <i/>
      <sz val="11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i/>
      <u val="single"/>
      <sz val="12"/>
      <name val="Times New Roman"/>
      <family val="1"/>
    </font>
    <font>
      <b/>
      <u val="single"/>
      <sz val="12"/>
      <name val="Times New Roman"/>
      <family val="1"/>
    </font>
    <font>
      <sz val="10"/>
      <name val="Calibri"/>
      <family val="2"/>
    </font>
    <font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0" fontId="45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272"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0" fillId="32" borderId="0" xfId="0" applyFill="1" applyAlignment="1">
      <alignment horizontal="left"/>
    </xf>
    <xf numFmtId="0" fontId="0" fillId="32" borderId="0" xfId="0" applyFill="1" applyBorder="1" applyAlignment="1">
      <alignment/>
    </xf>
    <xf numFmtId="0" fontId="13" fillId="32" borderId="0" xfId="0" applyFont="1" applyFill="1" applyAlignment="1">
      <alignment vertical="top" wrapText="1"/>
    </xf>
    <xf numFmtId="0" fontId="0" fillId="4" borderId="0" xfId="0" applyFill="1" applyAlignment="1">
      <alignment/>
    </xf>
    <xf numFmtId="0" fontId="14" fillId="32" borderId="0" xfId="0" applyFont="1" applyFill="1" applyBorder="1" applyAlignment="1">
      <alignment horizontal="left" vertical="top"/>
    </xf>
    <xf numFmtId="0" fontId="15" fillId="32" borderId="0" xfId="0" applyFont="1" applyFill="1" applyBorder="1" applyAlignment="1">
      <alignment/>
    </xf>
    <xf numFmtId="0" fontId="15" fillId="32" borderId="0" xfId="0" applyFont="1" applyFill="1" applyAlignment="1">
      <alignment/>
    </xf>
    <xf numFmtId="0" fontId="0" fillId="0" borderId="0" xfId="0" applyBorder="1" applyAlignment="1">
      <alignment/>
    </xf>
    <xf numFmtId="0" fontId="4" fillId="32" borderId="0" xfId="0" applyFont="1" applyFill="1" applyAlignment="1">
      <alignment/>
    </xf>
    <xf numFmtId="0" fontId="4" fillId="32" borderId="0" xfId="0" applyFont="1" applyFill="1" applyBorder="1" applyAlignment="1">
      <alignment/>
    </xf>
    <xf numFmtId="0" fontId="6" fillId="32" borderId="0" xfId="0" applyFont="1" applyFill="1" applyBorder="1" applyAlignment="1">
      <alignment horizontal="center" vertical="center" wrapText="1" readingOrder="1"/>
    </xf>
    <xf numFmtId="0" fontId="4" fillId="32" borderId="0" xfId="0" applyFont="1" applyFill="1" applyAlignment="1">
      <alignment horizontal="left"/>
    </xf>
    <xf numFmtId="0" fontId="5" fillId="32" borderId="0" xfId="0" applyFont="1" applyFill="1" applyAlignment="1">
      <alignment vertical="top" wrapText="1"/>
    </xf>
    <xf numFmtId="0" fontId="7" fillId="32" borderId="0" xfId="0" applyFont="1" applyFill="1" applyBorder="1" applyAlignment="1">
      <alignment horizontal="justify" vertical="top" wrapText="1"/>
    </xf>
    <xf numFmtId="0" fontId="7" fillId="32" borderId="0" xfId="0" applyFont="1" applyFill="1" applyAlignment="1">
      <alignment horizontal="justify" vertical="top" wrapText="1"/>
    </xf>
    <xf numFmtId="0" fontId="6" fillId="32" borderId="0" xfId="0" applyFont="1" applyFill="1" applyBorder="1" applyAlignment="1">
      <alignment horizontal="center"/>
    </xf>
    <xf numFmtId="0" fontId="16" fillId="32" borderId="0" xfId="0" applyFont="1" applyFill="1" applyBorder="1" applyAlignment="1">
      <alignment horizontal="center"/>
    </xf>
    <xf numFmtId="0" fontId="16" fillId="32" borderId="0" xfId="0" applyFont="1" applyFill="1" applyBorder="1" applyAlignment="1">
      <alignment/>
    </xf>
    <xf numFmtId="0" fontId="7" fillId="32" borderId="0" xfId="0" applyFont="1" applyFill="1" applyBorder="1" applyAlignment="1">
      <alignment horizontal="center"/>
    </xf>
    <xf numFmtId="0" fontId="14" fillId="32" borderId="0" xfId="0" applyFont="1" applyFill="1" applyBorder="1" applyAlignment="1">
      <alignment horizontal="center"/>
    </xf>
    <xf numFmtId="0" fontId="14" fillId="32" borderId="0" xfId="0" applyFont="1" applyFill="1" applyBorder="1" applyAlignment="1">
      <alignment/>
    </xf>
    <xf numFmtId="0" fontId="9" fillId="32" borderId="0" xfId="0" applyFont="1" applyFill="1" applyBorder="1" applyAlignment="1">
      <alignment/>
    </xf>
    <xf numFmtId="0" fontId="10" fillId="32" borderId="0" xfId="0" applyFont="1" applyFill="1" applyBorder="1" applyAlignment="1">
      <alignment/>
    </xf>
    <xf numFmtId="0" fontId="11" fillId="32" borderId="0" xfId="0" applyFont="1" applyFill="1" applyBorder="1" applyAlignment="1">
      <alignment/>
    </xf>
    <xf numFmtId="0" fontId="6" fillId="32" borderId="0" xfId="0" applyFont="1" applyFill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17" fillId="32" borderId="0" xfId="0" applyFont="1" applyFill="1" applyAlignment="1">
      <alignment/>
    </xf>
    <xf numFmtId="0" fontId="17" fillId="32" borderId="0" xfId="0" applyFont="1" applyFill="1" applyBorder="1" applyAlignment="1">
      <alignment/>
    </xf>
    <xf numFmtId="0" fontId="6" fillId="32" borderId="0" xfId="0" applyFont="1" applyFill="1" applyBorder="1" applyAlignment="1">
      <alignment horizontal="center" vertical="center" wrapText="1"/>
    </xf>
    <xf numFmtId="0" fontId="4" fillId="32" borderId="0" xfId="0" applyFont="1" applyFill="1" applyAlignment="1">
      <alignment horizontal="center" vertical="center"/>
    </xf>
    <xf numFmtId="0" fontId="9" fillId="32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32" borderId="0" xfId="0" applyFont="1" applyFill="1" applyAlignment="1">
      <alignment/>
    </xf>
    <xf numFmtId="0" fontId="2" fillId="32" borderId="10" xfId="0" applyFont="1" applyFill="1" applyBorder="1" applyAlignment="1">
      <alignment horizontal="center" vertical="top" wrapText="1"/>
    </xf>
    <xf numFmtId="0" fontId="4" fillId="32" borderId="10" xfId="0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 vertical="center" wrapText="1"/>
    </xf>
    <xf numFmtId="0" fontId="15" fillId="32" borderId="11" xfId="0" applyFont="1" applyFill="1" applyBorder="1" applyAlignment="1">
      <alignment/>
    </xf>
    <xf numFmtId="0" fontId="15" fillId="32" borderId="10" xfId="0" applyFont="1" applyFill="1" applyBorder="1" applyAlignment="1">
      <alignment/>
    </xf>
    <xf numFmtId="0" fontId="8" fillId="32" borderId="10" xfId="0" applyFont="1" applyFill="1" applyBorder="1" applyAlignment="1">
      <alignment horizontal="left" vertical="center" wrapText="1"/>
    </xf>
    <xf numFmtId="0" fontId="0" fillId="32" borderId="10" xfId="0" applyFill="1" applyBorder="1" applyAlignment="1">
      <alignment/>
    </xf>
    <xf numFmtId="0" fontId="0" fillId="0" borderId="10" xfId="0" applyBorder="1" applyAlignment="1">
      <alignment/>
    </xf>
    <xf numFmtId="0" fontId="3" fillId="32" borderId="10" xfId="0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/>
    </xf>
    <xf numFmtId="0" fontId="4" fillId="32" borderId="0" xfId="0" applyFont="1" applyFill="1" applyBorder="1" applyAlignment="1">
      <alignment horizontal="center" vertical="center"/>
    </xf>
    <xf numFmtId="0" fontId="17" fillId="32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wrapText="1"/>
    </xf>
    <xf numFmtId="2" fontId="4" fillId="32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0" fontId="4" fillId="32" borderId="0" xfId="0" applyNumberFormat="1" applyFont="1" applyFill="1" applyAlignment="1">
      <alignment/>
    </xf>
    <xf numFmtId="0" fontId="6" fillId="32" borderId="0" xfId="0" applyNumberFormat="1" applyFont="1" applyFill="1" applyBorder="1" applyAlignment="1">
      <alignment/>
    </xf>
    <xf numFmtId="0" fontId="7" fillId="32" borderId="0" xfId="0" applyNumberFormat="1" applyFont="1" applyFill="1" applyBorder="1" applyAlignment="1">
      <alignment horizontal="justify" vertical="top" wrapText="1"/>
    </xf>
    <xf numFmtId="0" fontId="3" fillId="32" borderId="10" xfId="0" applyNumberFormat="1" applyFont="1" applyFill="1" applyBorder="1" applyAlignment="1">
      <alignment horizontal="center" vertical="center" wrapText="1"/>
    </xf>
    <xf numFmtId="0" fontId="2" fillId="32" borderId="10" xfId="0" applyNumberFormat="1" applyFont="1" applyFill="1" applyBorder="1" applyAlignment="1">
      <alignment horizontal="center" vertical="center" wrapText="1"/>
    </xf>
    <xf numFmtId="0" fontId="4" fillId="32" borderId="10" xfId="0" applyNumberFormat="1" applyFont="1" applyFill="1" applyBorder="1" applyAlignment="1">
      <alignment horizontal="center" vertical="center" wrapText="1"/>
    </xf>
    <xf numFmtId="0" fontId="17" fillId="32" borderId="0" xfId="0" applyNumberFormat="1" applyFont="1" applyFill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17" fillId="0" borderId="10" xfId="0" applyFont="1" applyBorder="1" applyAlignment="1">
      <alignment horizontal="center"/>
    </xf>
    <xf numFmtId="0" fontId="15" fillId="32" borderId="0" xfId="0" applyFont="1" applyFill="1" applyAlignment="1">
      <alignment horizontal="center"/>
    </xf>
    <xf numFmtId="0" fontId="7" fillId="32" borderId="0" xfId="0" applyFont="1" applyFill="1" applyBorder="1" applyAlignment="1">
      <alignment horizontal="left" vertical="top" wrapText="1"/>
    </xf>
    <xf numFmtId="0" fontId="2" fillId="32" borderId="10" xfId="0" applyFont="1" applyFill="1" applyBorder="1" applyAlignment="1">
      <alignment horizontal="center" vertical="center" textRotation="90" wrapText="1"/>
    </xf>
    <xf numFmtId="0" fontId="8" fillId="33" borderId="10" xfId="0" applyFont="1" applyFill="1" applyBorder="1" applyAlignment="1">
      <alignment horizontal="left" vertical="top" wrapText="1"/>
    </xf>
    <xf numFmtId="0" fontId="4" fillId="32" borderId="10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0" fontId="17" fillId="0" borderId="10" xfId="0" applyFont="1" applyBorder="1" applyAlignment="1">
      <alignment horizontal="center"/>
    </xf>
    <xf numFmtId="0" fontId="8" fillId="32" borderId="13" xfId="0" applyFont="1" applyFill="1" applyBorder="1" applyAlignment="1">
      <alignment horizontal="left" vertical="top" wrapText="1"/>
    </xf>
    <xf numFmtId="0" fontId="2" fillId="34" borderId="10" xfId="0" applyFont="1" applyFill="1" applyBorder="1" applyAlignment="1">
      <alignment horizontal="center" vertical="top" wrapText="1"/>
    </xf>
    <xf numFmtId="0" fontId="2" fillId="35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4" fillId="35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4" fontId="4" fillId="34" borderId="10" xfId="0" applyNumberFormat="1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left" vertical="top" wrapText="1"/>
    </xf>
    <xf numFmtId="0" fontId="4" fillId="34" borderId="10" xfId="0" applyFont="1" applyFill="1" applyBorder="1" applyAlignment="1">
      <alignment horizontal="left" vertical="top" wrapText="1"/>
    </xf>
    <xf numFmtId="0" fontId="4" fillId="32" borderId="10" xfId="0" applyFont="1" applyFill="1" applyBorder="1" applyAlignment="1">
      <alignment horizontal="left" wrapText="1"/>
    </xf>
    <xf numFmtId="0" fontId="8" fillId="0" borderId="10" xfId="0" applyFont="1" applyFill="1" applyBorder="1" applyAlignment="1">
      <alignment horizontal="left" vertical="top" wrapText="1"/>
    </xf>
    <xf numFmtId="0" fontId="8" fillId="35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8" fillId="34" borderId="10" xfId="0" applyFont="1" applyFill="1" applyBorder="1" applyAlignment="1">
      <alignment horizontal="left" vertical="top" wrapText="1"/>
    </xf>
    <xf numFmtId="0" fontId="4" fillId="32" borderId="13" xfId="0" applyFont="1" applyFill="1" applyBorder="1" applyAlignment="1">
      <alignment horizontal="left" wrapText="1"/>
    </xf>
    <xf numFmtId="0" fontId="4" fillId="34" borderId="10" xfId="0" applyFont="1" applyFill="1" applyBorder="1" applyAlignment="1">
      <alignment horizontal="left" wrapText="1"/>
    </xf>
    <xf numFmtId="0" fontId="8" fillId="32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/>
    </xf>
    <xf numFmtId="0" fontId="15" fillId="32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 wrapText="1"/>
    </xf>
    <xf numFmtId="43" fontId="4" fillId="35" borderId="10" xfId="0" applyNumberFormat="1" applyFont="1" applyFill="1" applyBorder="1" applyAlignment="1">
      <alignment horizontal="center" vertical="center" wrapText="1"/>
    </xf>
    <xf numFmtId="43" fontId="4" fillId="32" borderId="10" xfId="0" applyNumberFormat="1" applyFont="1" applyFill="1" applyBorder="1" applyAlignment="1">
      <alignment horizontal="center" vertical="center"/>
    </xf>
    <xf numFmtId="2" fontId="4" fillId="35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3" fontId="4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2" fontId="4" fillId="33" borderId="10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/>
    </xf>
    <xf numFmtId="1" fontId="4" fillId="32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/>
    </xf>
    <xf numFmtId="49" fontId="17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32" borderId="10" xfId="0" applyNumberFormat="1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1" fontId="4" fillId="32" borderId="10" xfId="0" applyNumberFormat="1" applyFont="1" applyFill="1" applyBorder="1" applyAlignment="1">
      <alignment horizontal="center" vertical="center"/>
    </xf>
    <xf numFmtId="2" fontId="4" fillId="6" borderId="10" xfId="0" applyNumberFormat="1" applyFont="1" applyFill="1" applyBorder="1" applyAlignment="1">
      <alignment horizontal="center" vertical="center"/>
    </xf>
    <xf numFmtId="2" fontId="4" fillId="6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top" wrapText="1"/>
    </xf>
    <xf numFmtId="185" fontId="4" fillId="0" borderId="10" xfId="0" applyNumberFormat="1" applyFont="1" applyFill="1" applyBorder="1" applyAlignment="1">
      <alignment horizontal="center" vertical="center"/>
    </xf>
    <xf numFmtId="186" fontId="4" fillId="32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wrapText="1"/>
    </xf>
    <xf numFmtId="4" fontId="4" fillId="0" borderId="10" xfId="0" applyNumberFormat="1" applyFont="1" applyFill="1" applyBorder="1" applyAlignment="1">
      <alignment horizontal="center" vertical="center"/>
    </xf>
    <xf numFmtId="185" fontId="17" fillId="32" borderId="10" xfId="0" applyNumberFormat="1" applyFont="1" applyFill="1" applyBorder="1" applyAlignment="1">
      <alignment horizontal="center" vertical="center"/>
    </xf>
    <xf numFmtId="185" fontId="17" fillId="0" borderId="10" xfId="0" applyNumberFormat="1" applyFont="1" applyFill="1" applyBorder="1" applyAlignment="1">
      <alignment horizontal="center" vertical="center"/>
    </xf>
    <xf numFmtId="185" fontId="4" fillId="32" borderId="10" xfId="0" applyNumberFormat="1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left" vertical="center" wrapText="1"/>
    </xf>
    <xf numFmtId="182" fontId="4" fillId="34" borderId="10" xfId="0" applyNumberFormat="1" applyFont="1" applyFill="1" applyBorder="1" applyAlignment="1">
      <alignment horizontal="center" vertical="center" wrapText="1"/>
    </xf>
    <xf numFmtId="43" fontId="4" fillId="34" borderId="10" xfId="0" applyNumberFormat="1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left" vertical="top" wrapText="1"/>
    </xf>
    <xf numFmtId="0" fontId="2" fillId="36" borderId="10" xfId="0" applyFont="1" applyFill="1" applyBorder="1" applyAlignment="1">
      <alignment horizontal="center" wrapText="1"/>
    </xf>
    <xf numFmtId="0" fontId="4" fillId="36" borderId="10" xfId="0" applyFont="1" applyFill="1" applyBorder="1" applyAlignment="1">
      <alignment horizontal="center" vertical="center"/>
    </xf>
    <xf numFmtId="0" fontId="4" fillId="36" borderId="10" xfId="0" applyNumberFormat="1" applyFont="1" applyFill="1" applyBorder="1" applyAlignment="1">
      <alignment horizontal="center" vertical="center" wrapText="1"/>
    </xf>
    <xf numFmtId="0" fontId="2" fillId="37" borderId="10" xfId="0" applyFont="1" applyFill="1" applyBorder="1" applyAlignment="1">
      <alignment horizontal="center" wrapText="1"/>
    </xf>
    <xf numFmtId="43" fontId="21" fillId="37" borderId="10" xfId="0" applyNumberFormat="1" applyFont="1" applyFill="1" applyBorder="1" applyAlignment="1">
      <alignment horizontal="center" vertical="center"/>
    </xf>
    <xf numFmtId="43" fontId="3" fillId="37" borderId="10" xfId="0" applyNumberFormat="1" applyFont="1" applyFill="1" applyBorder="1" applyAlignment="1">
      <alignment horizontal="center" vertical="center" wrapText="1"/>
    </xf>
    <xf numFmtId="0" fontId="4" fillId="37" borderId="10" xfId="0" applyFont="1" applyFill="1" applyBorder="1" applyAlignment="1">
      <alignment horizontal="center" vertical="center"/>
    </xf>
    <xf numFmtId="43" fontId="3" fillId="37" borderId="10" xfId="0" applyNumberFormat="1" applyFont="1" applyFill="1" applyBorder="1" applyAlignment="1">
      <alignment horizontal="center" vertical="center"/>
    </xf>
    <xf numFmtId="0" fontId="4" fillId="37" borderId="10" xfId="0" applyFont="1" applyFill="1" applyBorder="1" applyAlignment="1">
      <alignment horizontal="center" vertical="center" wrapText="1"/>
    </xf>
    <xf numFmtId="43" fontId="4" fillId="37" borderId="10" xfId="0" applyNumberFormat="1" applyFont="1" applyFill="1" applyBorder="1" applyAlignment="1">
      <alignment horizontal="center" vertical="center"/>
    </xf>
    <xf numFmtId="43" fontId="4" fillId="37" borderId="10" xfId="0" applyNumberFormat="1" applyFont="1" applyFill="1" applyBorder="1" applyAlignment="1">
      <alignment horizontal="center" vertical="center" wrapText="1"/>
    </xf>
    <xf numFmtId="0" fontId="4" fillId="37" borderId="10" xfId="0" applyNumberFormat="1" applyFont="1" applyFill="1" applyBorder="1" applyAlignment="1">
      <alignment horizontal="center" vertical="center" wrapText="1"/>
    </xf>
    <xf numFmtId="0" fontId="4" fillId="37" borderId="14" xfId="0" applyFont="1" applyFill="1" applyBorder="1" applyAlignment="1">
      <alignment horizontal="left" vertical="top" wrapText="1"/>
    </xf>
    <xf numFmtId="0" fontId="4" fillId="37" borderId="10" xfId="0" applyFont="1" applyFill="1" applyBorder="1" applyAlignment="1">
      <alignment horizontal="left" vertical="top" wrapText="1"/>
    </xf>
    <xf numFmtId="182" fontId="4" fillId="37" borderId="10" xfId="0" applyNumberFormat="1" applyFont="1" applyFill="1" applyBorder="1" applyAlignment="1">
      <alignment horizontal="center" vertical="center"/>
    </xf>
    <xf numFmtId="182" fontId="4" fillId="37" borderId="10" xfId="0" applyNumberFormat="1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top" wrapText="1"/>
    </xf>
    <xf numFmtId="0" fontId="8" fillId="37" borderId="10" xfId="0" applyFont="1" applyFill="1" applyBorder="1" applyAlignment="1">
      <alignment horizontal="left" vertical="top" wrapText="1"/>
    </xf>
    <xf numFmtId="2" fontId="4" fillId="37" borderId="10" xfId="0" applyNumberFormat="1" applyFont="1" applyFill="1" applyBorder="1" applyAlignment="1">
      <alignment horizontal="center" vertical="center"/>
    </xf>
    <xf numFmtId="2" fontId="4" fillId="37" borderId="10" xfId="0" applyNumberFormat="1" applyFont="1" applyFill="1" applyBorder="1" applyAlignment="1">
      <alignment horizontal="center" vertical="center" wrapText="1"/>
    </xf>
    <xf numFmtId="0" fontId="4" fillId="37" borderId="13" xfId="0" applyFont="1" applyFill="1" applyBorder="1" applyAlignment="1">
      <alignment vertical="top" wrapText="1"/>
    </xf>
    <xf numFmtId="0" fontId="8" fillId="37" borderId="13" xfId="0" applyFont="1" applyFill="1" applyBorder="1" applyAlignment="1">
      <alignment horizontal="left" vertical="top" wrapText="1"/>
    </xf>
    <xf numFmtId="0" fontId="2" fillId="37" borderId="10" xfId="0" applyFont="1" applyFill="1" applyBorder="1" applyAlignment="1">
      <alignment horizontal="right" wrapText="1"/>
    </xf>
    <xf numFmtId="0" fontId="17" fillId="37" borderId="10" xfId="0" applyFont="1" applyFill="1" applyBorder="1" applyAlignment="1">
      <alignment horizontal="center"/>
    </xf>
    <xf numFmtId="2" fontId="17" fillId="37" borderId="10" xfId="0" applyNumberFormat="1" applyFont="1" applyFill="1" applyBorder="1" applyAlignment="1">
      <alignment horizontal="center" vertical="center"/>
    </xf>
    <xf numFmtId="0" fontId="17" fillId="37" borderId="10" xfId="0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43" fontId="4" fillId="34" borderId="10" xfId="0" applyNumberFormat="1" applyFont="1" applyFill="1" applyBorder="1" applyAlignment="1">
      <alignment horizontal="center" vertical="center"/>
    </xf>
    <xf numFmtId="0" fontId="2" fillId="37" borderId="10" xfId="0" applyFont="1" applyFill="1" applyBorder="1" applyAlignment="1">
      <alignment horizontal="center" vertical="top" wrapText="1"/>
    </xf>
    <xf numFmtId="0" fontId="4" fillId="37" borderId="10" xfId="0" applyNumberFormat="1" applyFont="1" applyFill="1" applyBorder="1" applyAlignment="1">
      <alignment horizontal="center" vertical="center"/>
    </xf>
    <xf numFmtId="0" fontId="8" fillId="36" borderId="10" xfId="0" applyFont="1" applyFill="1" applyBorder="1" applyAlignment="1">
      <alignment horizontal="left" vertical="top"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left" wrapText="1"/>
    </xf>
    <xf numFmtId="0" fontId="2" fillId="36" borderId="10" xfId="0" applyFont="1" applyFill="1" applyBorder="1" applyAlignment="1">
      <alignment horizontal="center" vertical="center" wrapText="1"/>
    </xf>
    <xf numFmtId="0" fontId="15" fillId="37" borderId="0" xfId="0" applyFont="1" applyFill="1" applyAlignment="1">
      <alignment horizontal="center" vertical="center"/>
    </xf>
    <xf numFmtId="0" fontId="15" fillId="36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top" wrapText="1"/>
    </xf>
    <xf numFmtId="1" fontId="4" fillId="0" borderId="14" xfId="0" applyNumberFormat="1" applyFont="1" applyFill="1" applyBorder="1" applyAlignment="1">
      <alignment horizontal="center" vertical="center" wrapText="1"/>
    </xf>
    <xf numFmtId="2" fontId="17" fillId="37" borderId="10" xfId="0" applyNumberFormat="1" applyFont="1" applyFill="1" applyBorder="1" applyAlignment="1">
      <alignment horizontal="center" vertical="center"/>
    </xf>
    <xf numFmtId="0" fontId="4" fillId="37" borderId="10" xfId="0" applyFont="1" applyFill="1" applyBorder="1" applyAlignment="1">
      <alignment horizontal="left" wrapText="1"/>
    </xf>
    <xf numFmtId="1" fontId="4" fillId="37" borderId="10" xfId="0" applyNumberFormat="1" applyFont="1" applyFill="1" applyBorder="1" applyAlignment="1">
      <alignment horizontal="center" vertical="center"/>
    </xf>
    <xf numFmtId="2" fontId="4" fillId="34" borderId="10" xfId="0" applyNumberFormat="1" applyFont="1" applyFill="1" applyBorder="1" applyAlignment="1">
      <alignment horizontal="center" wrapText="1"/>
    </xf>
    <xf numFmtId="4" fontId="4" fillId="36" borderId="10" xfId="0" applyNumberFormat="1" applyFont="1" applyFill="1" applyBorder="1" applyAlignment="1">
      <alignment horizontal="center" vertical="center"/>
    </xf>
    <xf numFmtId="4" fontId="4" fillId="37" borderId="10" xfId="0" applyNumberFormat="1" applyFont="1" applyFill="1" applyBorder="1" applyAlignment="1">
      <alignment horizontal="center" vertical="center"/>
    </xf>
    <xf numFmtId="2" fontId="4" fillId="37" borderId="10" xfId="0" applyNumberFormat="1" applyFont="1" applyFill="1" applyBorder="1" applyAlignment="1">
      <alignment horizontal="center" wrapText="1"/>
    </xf>
    <xf numFmtId="0" fontId="8" fillId="37" borderId="10" xfId="0" applyFont="1" applyFill="1" applyBorder="1" applyAlignment="1">
      <alignment horizontal="left" wrapText="1"/>
    </xf>
    <xf numFmtId="0" fontId="4" fillId="36" borderId="10" xfId="0" applyNumberFormat="1" applyFont="1" applyFill="1" applyBorder="1" applyAlignment="1">
      <alignment horizontal="center" vertical="center"/>
    </xf>
    <xf numFmtId="185" fontId="4" fillId="37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left" vertical="top" wrapText="1"/>
    </xf>
    <xf numFmtId="184" fontId="4" fillId="37" borderId="10" xfId="0" applyNumberFormat="1" applyFont="1" applyFill="1" applyBorder="1" applyAlignment="1">
      <alignment horizontal="center" vertical="center" wrapText="1"/>
    </xf>
    <xf numFmtId="184" fontId="4" fillId="0" borderId="10" xfId="0" applyNumberFormat="1" applyFont="1" applyFill="1" applyBorder="1" applyAlignment="1">
      <alignment horizontal="center" vertical="center" wrapText="1"/>
    </xf>
    <xf numFmtId="184" fontId="4" fillId="0" borderId="10" xfId="0" applyNumberFormat="1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/>
    </xf>
    <xf numFmtId="10" fontId="4" fillId="32" borderId="10" xfId="0" applyNumberFormat="1" applyFont="1" applyFill="1" applyBorder="1" applyAlignment="1">
      <alignment horizontal="center" vertical="center"/>
    </xf>
    <xf numFmtId="10" fontId="4" fillId="0" borderId="10" xfId="0" applyNumberFormat="1" applyFont="1" applyFill="1" applyBorder="1" applyAlignment="1">
      <alignment horizontal="center" vertical="center" wrapText="1"/>
    </xf>
    <xf numFmtId="185" fontId="4" fillId="0" borderId="10" xfId="0" applyNumberFormat="1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center" vertical="center"/>
    </xf>
    <xf numFmtId="0" fontId="0" fillId="32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32" borderId="15" xfId="0" applyFill="1" applyBorder="1" applyAlignment="1">
      <alignment horizontal="center" vertical="center"/>
    </xf>
    <xf numFmtId="0" fontId="0" fillId="32" borderId="14" xfId="0" applyFill="1" applyBorder="1" applyAlignment="1">
      <alignment horizontal="center" vertical="center"/>
    </xf>
    <xf numFmtId="0" fontId="0" fillId="32" borderId="0" xfId="0" applyFill="1" applyBorder="1" applyAlignment="1">
      <alignment horizontal="center" vertical="center"/>
    </xf>
    <xf numFmtId="0" fontId="15" fillId="32" borderId="15" xfId="0" applyFont="1" applyFill="1" applyBorder="1" applyAlignment="1">
      <alignment horizontal="center" vertical="center"/>
    </xf>
    <xf numFmtId="0" fontId="15" fillId="32" borderId="14" xfId="0" applyFont="1" applyFill="1" applyBorder="1" applyAlignment="1">
      <alignment horizontal="center" vertical="center"/>
    </xf>
    <xf numFmtId="0" fontId="15" fillId="32" borderId="0" xfId="0" applyFont="1" applyFill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32" borderId="13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37" borderId="13" xfId="0" applyFont="1" applyFill="1" applyBorder="1" applyAlignment="1">
      <alignment horizontal="left" wrapText="1"/>
    </xf>
    <xf numFmtId="0" fontId="4" fillId="37" borderId="13" xfId="0" applyFont="1" applyFill="1" applyBorder="1" applyAlignment="1">
      <alignment horizontal="center" vertical="center"/>
    </xf>
    <xf numFmtId="43" fontId="4" fillId="32" borderId="10" xfId="0" applyNumberFormat="1" applyFont="1" applyFill="1" applyBorder="1" applyAlignment="1">
      <alignment horizontal="left" vertical="center" wrapText="1"/>
    </xf>
    <xf numFmtId="0" fontId="4" fillId="37" borderId="10" xfId="0" applyFont="1" applyFill="1" applyBorder="1" applyAlignment="1">
      <alignment horizontal="left" vertical="top" wrapText="1"/>
    </xf>
    <xf numFmtId="49" fontId="4" fillId="37" borderId="10" xfId="0" applyNumberFormat="1" applyFont="1" applyFill="1" applyBorder="1" applyAlignment="1">
      <alignment horizontal="center" vertical="center" wrapText="1"/>
    </xf>
    <xf numFmtId="0" fontId="4" fillId="37" borderId="10" xfId="0" applyFont="1" applyFill="1" applyBorder="1" applyAlignment="1">
      <alignment horizontal="left" vertical="top" wrapText="1"/>
    </xf>
    <xf numFmtId="0" fontId="4" fillId="37" borderId="10" xfId="0" applyFont="1" applyFill="1" applyBorder="1" applyAlignment="1">
      <alignment horizontal="left" vertical="top" wrapText="1"/>
    </xf>
    <xf numFmtId="0" fontId="4" fillId="37" borderId="10" xfId="0" applyFont="1" applyFill="1" applyBorder="1" applyAlignment="1">
      <alignment horizontal="left" vertical="top" wrapText="1"/>
    </xf>
    <xf numFmtId="185" fontId="4" fillId="33" borderId="10" xfId="0" applyNumberFormat="1" applyFont="1" applyFill="1" applyBorder="1" applyAlignment="1">
      <alignment horizontal="center" vertical="center"/>
    </xf>
    <xf numFmtId="0" fontId="4" fillId="37" borderId="10" xfId="0" applyFont="1" applyFill="1" applyBorder="1" applyAlignment="1">
      <alignment horizontal="left" vertical="top" wrapText="1"/>
    </xf>
    <xf numFmtId="184" fontId="4" fillId="33" borderId="10" xfId="0" applyNumberFormat="1" applyFont="1" applyFill="1" applyBorder="1" applyAlignment="1">
      <alignment horizontal="center" vertical="center"/>
    </xf>
    <xf numFmtId="182" fontId="59" fillId="37" borderId="10" xfId="0" applyNumberFormat="1" applyFont="1" applyFill="1" applyBorder="1" applyAlignment="1">
      <alignment horizontal="center" vertical="center"/>
    </xf>
    <xf numFmtId="188" fontId="4" fillId="37" borderId="10" xfId="0" applyNumberFormat="1" applyFont="1" applyFill="1" applyBorder="1" applyAlignment="1">
      <alignment horizontal="center" vertical="center"/>
    </xf>
    <xf numFmtId="188" fontId="4" fillId="37" borderId="10" xfId="0" applyNumberFormat="1" applyFont="1" applyFill="1" applyBorder="1" applyAlignment="1">
      <alignment horizontal="center" vertical="center" wrapText="1"/>
    </xf>
    <xf numFmtId="43" fontId="4" fillId="36" borderId="10" xfId="0" applyNumberFormat="1" applyFont="1" applyFill="1" applyBorder="1" applyAlignment="1">
      <alignment horizontal="center" vertical="center" wrapText="1"/>
    </xf>
    <xf numFmtId="43" fontId="4" fillId="36" borderId="10" xfId="0" applyNumberFormat="1" applyFont="1" applyFill="1" applyBorder="1" applyAlignment="1">
      <alignment horizontal="center" vertical="center"/>
    </xf>
    <xf numFmtId="0" fontId="4" fillId="37" borderId="10" xfId="0" applyFont="1" applyFill="1" applyBorder="1" applyAlignment="1">
      <alignment horizontal="left" vertical="top" wrapText="1"/>
    </xf>
    <xf numFmtId="0" fontId="4" fillId="37" borderId="10" xfId="0" applyFont="1" applyFill="1" applyBorder="1" applyAlignment="1">
      <alignment horizontal="left" vertical="top" wrapText="1"/>
    </xf>
    <xf numFmtId="0" fontId="15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wrapText="1"/>
    </xf>
    <xf numFmtId="0" fontId="15" fillId="33" borderId="0" xfId="0" applyFont="1" applyFill="1" applyAlignment="1">
      <alignment/>
    </xf>
    <xf numFmtId="0" fontId="0" fillId="33" borderId="10" xfId="0" applyFill="1" applyBorder="1" applyAlignment="1">
      <alignment horizontal="center" vertical="center"/>
    </xf>
    <xf numFmtId="0" fontId="15" fillId="33" borderId="0" xfId="0" applyFont="1" applyFill="1" applyAlignment="1">
      <alignment/>
    </xf>
    <xf numFmtId="1" fontId="4" fillId="33" borderId="10" xfId="0" applyNumberFormat="1" applyFont="1" applyFill="1" applyBorder="1" applyAlignment="1">
      <alignment horizontal="center" vertical="center"/>
    </xf>
    <xf numFmtId="1" fontId="4" fillId="33" borderId="10" xfId="0" applyNumberFormat="1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vertical="top" wrapText="1"/>
    </xf>
    <xf numFmtId="190" fontId="4" fillId="33" borderId="10" xfId="0" applyNumberFormat="1" applyFont="1" applyFill="1" applyBorder="1" applyAlignment="1">
      <alignment horizontal="center" vertical="center"/>
    </xf>
    <xf numFmtId="0" fontId="4" fillId="37" borderId="10" xfId="0" applyFont="1" applyFill="1" applyBorder="1" applyAlignment="1">
      <alignment horizontal="left" vertical="top" wrapText="1"/>
    </xf>
    <xf numFmtId="0" fontId="4" fillId="37" borderId="10" xfId="0" applyFont="1" applyFill="1" applyBorder="1" applyAlignment="1">
      <alignment horizontal="left" vertical="top" wrapText="1"/>
    </xf>
    <xf numFmtId="43" fontId="4" fillId="38" borderId="1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left" vertical="top" wrapText="1"/>
    </xf>
    <xf numFmtId="0" fontId="2" fillId="32" borderId="16" xfId="0" applyFont="1" applyFill="1" applyBorder="1" applyAlignment="1">
      <alignment horizontal="center" vertical="center" wrapText="1"/>
    </xf>
    <xf numFmtId="0" fontId="2" fillId="32" borderId="17" xfId="0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center" wrapText="1"/>
    </xf>
    <xf numFmtId="0" fontId="2" fillId="32" borderId="18" xfId="0" applyFont="1" applyFill="1" applyBorder="1" applyAlignment="1">
      <alignment horizontal="center" vertical="center" wrapText="1"/>
    </xf>
    <xf numFmtId="0" fontId="2" fillId="32" borderId="19" xfId="0" applyFont="1" applyFill="1" applyBorder="1" applyAlignment="1">
      <alignment horizontal="center" vertical="center" wrapText="1"/>
    </xf>
    <xf numFmtId="0" fontId="2" fillId="32" borderId="20" xfId="0" applyFont="1" applyFill="1" applyBorder="1" applyAlignment="1">
      <alignment horizontal="center" vertical="center" wrapText="1"/>
    </xf>
    <xf numFmtId="0" fontId="8" fillId="37" borderId="13" xfId="0" applyFont="1" applyFill="1" applyBorder="1" applyAlignment="1">
      <alignment horizontal="left" vertical="top" wrapText="1"/>
    </xf>
    <xf numFmtId="0" fontId="8" fillId="37" borderId="14" xfId="0" applyFont="1" applyFill="1" applyBorder="1" applyAlignment="1">
      <alignment horizontal="left" vertical="top" wrapText="1"/>
    </xf>
    <xf numFmtId="0" fontId="4" fillId="37" borderId="13" xfId="0" applyFont="1" applyFill="1" applyBorder="1" applyAlignment="1">
      <alignment horizontal="left" vertical="top" wrapText="1"/>
    </xf>
    <xf numFmtId="0" fontId="4" fillId="37" borderId="14" xfId="0" applyFont="1" applyFill="1" applyBorder="1" applyAlignment="1">
      <alignment horizontal="left" vertical="top" wrapText="1"/>
    </xf>
    <xf numFmtId="0" fontId="4" fillId="37" borderId="10" xfId="0" applyFont="1" applyFill="1" applyBorder="1" applyAlignment="1">
      <alignment horizontal="left" vertical="top" wrapText="1"/>
    </xf>
    <xf numFmtId="0" fontId="4" fillId="35" borderId="13" xfId="0" applyFont="1" applyFill="1" applyBorder="1" applyAlignment="1">
      <alignment horizontal="left" vertical="top" wrapText="1"/>
    </xf>
    <xf numFmtId="0" fontId="4" fillId="35" borderId="14" xfId="0" applyFont="1" applyFill="1" applyBorder="1" applyAlignment="1">
      <alignment horizontal="left" vertical="top" wrapText="1"/>
    </xf>
    <xf numFmtId="0" fontId="2" fillId="32" borderId="15" xfId="0" applyFont="1" applyFill="1" applyBorder="1" applyAlignment="1">
      <alignment horizontal="center" vertical="center" textRotation="90" wrapText="1"/>
    </xf>
    <xf numFmtId="0" fontId="2" fillId="32" borderId="11" xfId="0" applyFont="1" applyFill="1" applyBorder="1" applyAlignment="1">
      <alignment horizontal="center" vertical="center" textRotation="90" wrapText="1"/>
    </xf>
    <xf numFmtId="0" fontId="2" fillId="32" borderId="21" xfId="0" applyFont="1" applyFill="1" applyBorder="1" applyAlignment="1">
      <alignment horizontal="center" vertical="center" wrapText="1"/>
    </xf>
    <xf numFmtId="0" fontId="2" fillId="32" borderId="22" xfId="0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 horizontal="center"/>
    </xf>
    <xf numFmtId="0" fontId="4" fillId="32" borderId="23" xfId="0" applyFont="1" applyFill="1" applyBorder="1" applyAlignment="1">
      <alignment horizontal="center"/>
    </xf>
    <xf numFmtId="0" fontId="4" fillId="32" borderId="12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left" vertical="top" wrapText="1"/>
    </xf>
    <xf numFmtId="0" fontId="4" fillId="33" borderId="14" xfId="0" applyFont="1" applyFill="1" applyBorder="1" applyAlignment="1">
      <alignment horizontal="left" vertical="top" wrapText="1"/>
    </xf>
    <xf numFmtId="0" fontId="4" fillId="37" borderId="10" xfId="0" applyNumberFormat="1" applyFont="1" applyFill="1" applyBorder="1" applyAlignment="1">
      <alignment horizontal="left" wrapText="1"/>
    </xf>
    <xf numFmtId="0" fontId="7" fillId="32" borderId="0" xfId="0" applyFont="1" applyFill="1" applyBorder="1" applyAlignment="1">
      <alignment horizontal="left" vertical="top" wrapText="1"/>
    </xf>
    <xf numFmtId="0" fontId="3" fillId="32" borderId="10" xfId="0" applyFont="1" applyFill="1" applyBorder="1" applyAlignment="1">
      <alignment horizontal="center" vertical="center" wrapText="1"/>
    </xf>
    <xf numFmtId="0" fontId="7" fillId="32" borderId="22" xfId="0" applyFont="1" applyFill="1" applyBorder="1" applyAlignment="1">
      <alignment horizontal="left" vertical="top" wrapText="1"/>
    </xf>
    <xf numFmtId="0" fontId="5" fillId="32" borderId="0" xfId="0" applyFont="1" applyFill="1" applyAlignment="1">
      <alignment horizontal="left"/>
    </xf>
    <xf numFmtId="0" fontId="7" fillId="32" borderId="0" xfId="0" applyFont="1" applyFill="1" applyBorder="1" applyAlignment="1">
      <alignment horizontal="center"/>
    </xf>
    <xf numFmtId="0" fontId="6" fillId="32" borderId="0" xfId="0" applyFont="1" applyFill="1" applyBorder="1" applyAlignment="1">
      <alignment horizontal="center"/>
    </xf>
    <xf numFmtId="0" fontId="7" fillId="32" borderId="0" xfId="0" applyFont="1" applyFill="1" applyBorder="1" applyAlignment="1">
      <alignment horizontal="center" vertical="center"/>
    </xf>
    <xf numFmtId="0" fontId="2" fillId="32" borderId="0" xfId="0" applyFont="1" applyFill="1" applyBorder="1" applyAlignment="1">
      <alignment horizontal="center" vertical="center" wrapText="1"/>
    </xf>
    <xf numFmtId="0" fontId="12" fillId="32" borderId="0" xfId="0" applyFont="1" applyFill="1" applyBorder="1" applyAlignment="1">
      <alignment horizontal="center"/>
    </xf>
    <xf numFmtId="14" fontId="22" fillId="32" borderId="0" xfId="0" applyNumberFormat="1" applyFont="1" applyFill="1" applyAlignment="1">
      <alignment horizontal="center" vertical="center"/>
    </xf>
    <xf numFmtId="0" fontId="22" fillId="32" borderId="0" xfId="0" applyFont="1" applyFill="1" applyAlignment="1">
      <alignment horizontal="center" vertical="center"/>
    </xf>
    <xf numFmtId="0" fontId="2" fillId="32" borderId="10" xfId="0" applyFont="1" applyFill="1" applyBorder="1" applyAlignment="1">
      <alignment horizontal="center" vertical="center" wrapText="1"/>
    </xf>
    <xf numFmtId="0" fontId="5" fillId="32" borderId="0" xfId="0" applyFont="1" applyFill="1" applyAlignment="1">
      <alignment horizontal="left" vertical="top" wrapText="1"/>
    </xf>
    <xf numFmtId="0" fontId="2" fillId="32" borderId="13" xfId="0" applyFont="1" applyFill="1" applyBorder="1" applyAlignment="1">
      <alignment horizontal="center" vertical="center" wrapText="1"/>
    </xf>
    <xf numFmtId="0" fontId="2" fillId="32" borderId="23" xfId="0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horizontal="center" vertical="center" wrapText="1"/>
    </xf>
    <xf numFmtId="0" fontId="2" fillId="32" borderId="15" xfId="0" applyFont="1" applyFill="1" applyBorder="1" applyAlignment="1">
      <alignment horizontal="center" vertical="center" wrapText="1"/>
    </xf>
    <xf numFmtId="0" fontId="2" fillId="32" borderId="24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2" fillId="32" borderId="24" xfId="0" applyFont="1" applyFill="1" applyBorder="1" applyAlignment="1">
      <alignment horizontal="center" vertical="center" textRotation="90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G672"/>
  <sheetViews>
    <sheetView tabSelected="1" view="pageBreakPreview" zoomScaleSheetLayoutView="100" workbookViewId="0" topLeftCell="F216">
      <selection activeCell="AH224" sqref="AH224"/>
    </sheetView>
  </sheetViews>
  <sheetFormatPr defaultColWidth="9.140625" defaultRowHeight="15"/>
  <cols>
    <col min="1" max="1" width="2.00390625" style="0" customWidth="1"/>
    <col min="2" max="2" width="3.7109375" style="0" customWidth="1"/>
    <col min="3" max="3" width="3.28125" style="0" customWidth="1"/>
    <col min="4" max="4" width="2.7109375" style="5" customWidth="1"/>
    <col min="5" max="6" width="3.28125" style="5" customWidth="1"/>
    <col min="7" max="8" width="3.00390625" style="5" customWidth="1"/>
    <col min="9" max="9" width="3.140625" style="5" customWidth="1"/>
    <col min="10" max="10" width="3.00390625" style="0" customWidth="1"/>
    <col min="11" max="11" width="2.7109375" style="0" customWidth="1"/>
    <col min="12" max="12" width="3.140625" style="0" customWidth="1"/>
    <col min="13" max="13" width="3.00390625" style="0" customWidth="1"/>
    <col min="14" max="14" width="3.421875" style="0" customWidth="1"/>
    <col min="15" max="15" width="3.57421875" style="0" customWidth="1"/>
    <col min="16" max="17" width="2.7109375" style="0" customWidth="1"/>
    <col min="18" max="18" width="3.00390625" style="34" customWidth="1"/>
    <col min="19" max="20" width="2.7109375" style="34" customWidth="1"/>
    <col min="21" max="22" width="2.8515625" style="34" customWidth="1"/>
    <col min="23" max="23" width="3.7109375" style="34" customWidth="1"/>
    <col min="24" max="24" width="2.8515625" style="34" customWidth="1"/>
    <col min="25" max="26" width="3.00390625" style="34" customWidth="1"/>
    <col min="27" max="27" width="3.28125" style="34" customWidth="1"/>
    <col min="28" max="28" width="48.421875" style="0" customWidth="1"/>
    <col min="29" max="29" width="7.7109375" style="0" customWidth="1"/>
    <col min="30" max="30" width="17.57421875" style="0" customWidth="1"/>
    <col min="31" max="31" width="18.421875" style="0" customWidth="1"/>
    <col min="32" max="32" width="17.57421875" style="0" customWidth="1"/>
    <col min="33" max="33" width="17.421875" style="0" customWidth="1"/>
    <col min="34" max="34" width="17.7109375" style="0" customWidth="1"/>
    <col min="35" max="35" width="17.8515625" style="0" customWidth="1"/>
    <col min="36" max="36" width="18.00390625" style="61" customWidth="1"/>
    <col min="37" max="37" width="10.57421875" style="0" customWidth="1"/>
    <col min="38" max="85" width="9.140625" style="1" customWidth="1"/>
  </cols>
  <sheetData>
    <row r="1" spans="1:42" ht="18.7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32"/>
      <c r="S1" s="32"/>
      <c r="T1" s="32"/>
      <c r="U1" s="32"/>
      <c r="V1" s="32"/>
      <c r="W1" s="32"/>
      <c r="X1" s="32"/>
      <c r="Y1" s="32"/>
      <c r="Z1" s="32"/>
      <c r="AA1" s="32"/>
      <c r="AB1" s="10"/>
      <c r="AC1" s="10"/>
      <c r="AD1" s="10"/>
      <c r="AE1" s="10"/>
      <c r="AJ1" s="255"/>
      <c r="AK1" s="255"/>
      <c r="AL1" s="13"/>
      <c r="AM1" s="2"/>
      <c r="AN1" s="2"/>
      <c r="AO1" s="2"/>
      <c r="AP1" s="2"/>
    </row>
    <row r="2" spans="2:42" ht="76.5" customHeight="1">
      <c r="B2" s="8"/>
      <c r="C2" s="8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32"/>
      <c r="S2" s="32"/>
      <c r="T2" s="32"/>
      <c r="U2" s="32"/>
      <c r="V2" s="32"/>
      <c r="W2" s="261"/>
      <c r="X2" s="262"/>
      <c r="Y2" s="262"/>
      <c r="Z2" s="262"/>
      <c r="AA2" s="262"/>
      <c r="AB2" s="262"/>
      <c r="AC2" s="10"/>
      <c r="AD2" s="10"/>
      <c r="AE2" s="10"/>
      <c r="AF2" s="264" t="s">
        <v>247</v>
      </c>
      <c r="AG2" s="264"/>
      <c r="AH2" s="264"/>
      <c r="AI2" s="264"/>
      <c r="AJ2" s="264"/>
      <c r="AK2" s="264"/>
      <c r="AL2" s="13"/>
      <c r="AM2" s="2"/>
      <c r="AN2" s="2"/>
      <c r="AO2" s="2"/>
      <c r="AP2" s="2"/>
    </row>
    <row r="3" spans="2:42" ht="18.75" customHeight="1">
      <c r="B3" s="8"/>
      <c r="C3" s="8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32"/>
      <c r="S3" s="32"/>
      <c r="T3" s="32"/>
      <c r="U3" s="32"/>
      <c r="V3" s="32"/>
      <c r="W3" s="32"/>
      <c r="X3" s="32"/>
      <c r="Y3" s="32"/>
      <c r="Z3" s="32"/>
      <c r="AA3" s="32"/>
      <c r="AB3" s="10"/>
      <c r="AC3" s="10"/>
      <c r="AD3" s="10"/>
      <c r="AE3" s="10"/>
      <c r="AF3" s="264"/>
      <c r="AG3" s="264"/>
      <c r="AH3" s="264"/>
      <c r="AI3" s="264"/>
      <c r="AJ3" s="264"/>
      <c r="AK3" s="264"/>
      <c r="AL3" s="13"/>
      <c r="AM3" s="2"/>
      <c r="AN3" s="2"/>
      <c r="AO3" s="2"/>
      <c r="AP3" s="2"/>
    </row>
    <row r="4" spans="2:42" ht="18.75">
      <c r="B4" s="8"/>
      <c r="C4" s="8"/>
      <c r="D4" s="11"/>
      <c r="E4" s="11"/>
      <c r="F4" s="11"/>
      <c r="G4" s="11"/>
      <c r="H4" s="11"/>
      <c r="I4" s="11"/>
      <c r="J4" s="10"/>
      <c r="K4" s="10"/>
      <c r="L4" s="10"/>
      <c r="M4" s="10"/>
      <c r="N4" s="10"/>
      <c r="O4" s="10"/>
      <c r="P4" s="10"/>
      <c r="Q4" s="10"/>
      <c r="R4" s="32"/>
      <c r="S4" s="32"/>
      <c r="T4" s="32"/>
      <c r="U4" s="32"/>
      <c r="V4" s="32"/>
      <c r="W4" s="32"/>
      <c r="X4" s="32"/>
      <c r="Y4" s="32"/>
      <c r="Z4" s="32"/>
      <c r="AA4" s="32"/>
      <c r="AB4" s="10"/>
      <c r="AC4" s="10"/>
      <c r="AD4" s="10"/>
      <c r="AE4" s="10"/>
      <c r="AF4" s="264"/>
      <c r="AG4" s="264"/>
      <c r="AH4" s="264"/>
      <c r="AI4" s="264"/>
      <c r="AJ4" s="264"/>
      <c r="AK4" s="264"/>
      <c r="AL4" s="14"/>
      <c r="AM4" s="4"/>
      <c r="AN4" s="4"/>
      <c r="AO4" s="4"/>
      <c r="AP4" s="4"/>
    </row>
    <row r="5" spans="2:38" ht="18.75">
      <c r="B5" s="8"/>
      <c r="C5" s="8"/>
      <c r="D5" s="11"/>
      <c r="E5" s="11"/>
      <c r="F5" s="11"/>
      <c r="G5" s="11"/>
      <c r="H5" s="11"/>
      <c r="I5" s="11"/>
      <c r="J5" s="12"/>
      <c r="K5" s="12"/>
      <c r="L5" s="12"/>
      <c r="M5" s="12"/>
      <c r="N5" s="12"/>
      <c r="O5" s="12"/>
      <c r="P5" s="12"/>
      <c r="Q5" s="12"/>
      <c r="R5" s="31"/>
      <c r="S5" s="31"/>
      <c r="T5" s="31"/>
      <c r="U5" s="31"/>
      <c r="V5" s="31"/>
      <c r="W5" s="31"/>
      <c r="X5" s="31"/>
      <c r="Y5" s="31"/>
      <c r="Z5" s="31"/>
      <c r="AA5" s="31"/>
      <c r="AB5" s="12"/>
      <c r="AC5" s="11"/>
      <c r="AD5" s="11"/>
      <c r="AE5" s="10"/>
      <c r="AF5" s="10"/>
      <c r="AG5" s="10"/>
      <c r="AH5" s="10"/>
      <c r="AI5" s="10"/>
      <c r="AJ5" s="53"/>
      <c r="AK5" s="10"/>
      <c r="AL5" s="10"/>
    </row>
    <row r="6" spans="2:43" s="3" customFormat="1" ht="16.5" customHeight="1">
      <c r="B6" s="7"/>
      <c r="C6" s="7"/>
      <c r="D6" s="257" t="s">
        <v>175</v>
      </c>
      <c r="E6" s="257"/>
      <c r="F6" s="257"/>
      <c r="G6" s="257"/>
      <c r="H6" s="257"/>
      <c r="I6" s="257"/>
      <c r="J6" s="257"/>
      <c r="K6" s="257"/>
      <c r="L6" s="257"/>
      <c r="M6" s="257"/>
      <c r="N6" s="257"/>
      <c r="O6" s="257"/>
      <c r="P6" s="257"/>
      <c r="Q6" s="257"/>
      <c r="R6" s="257"/>
      <c r="S6" s="257"/>
      <c r="T6" s="257"/>
      <c r="U6" s="257"/>
      <c r="V6" s="257"/>
      <c r="W6" s="257"/>
      <c r="X6" s="257"/>
      <c r="Y6" s="257"/>
      <c r="Z6" s="257"/>
      <c r="AA6" s="257"/>
      <c r="AB6" s="257"/>
      <c r="AC6" s="257"/>
      <c r="AD6" s="257"/>
      <c r="AE6" s="257"/>
      <c r="AF6" s="257"/>
      <c r="AG6" s="257"/>
      <c r="AH6" s="257"/>
      <c r="AI6" s="257"/>
      <c r="AJ6" s="257"/>
      <c r="AK6" s="257"/>
      <c r="AL6" s="17"/>
      <c r="AM6" s="18"/>
      <c r="AN6" s="18"/>
      <c r="AO6" s="18"/>
      <c r="AP6" s="19"/>
      <c r="AQ6" s="19"/>
    </row>
    <row r="7" spans="1:43" s="3" customFormat="1" ht="15.75">
      <c r="A7" s="30"/>
      <c r="B7" s="11"/>
      <c r="C7" s="11"/>
      <c r="D7" s="258" t="s">
        <v>246</v>
      </c>
      <c r="E7" s="258"/>
      <c r="F7" s="258"/>
      <c r="G7" s="258"/>
      <c r="H7" s="258"/>
      <c r="I7" s="258"/>
      <c r="J7" s="258"/>
      <c r="K7" s="258"/>
      <c r="L7" s="258"/>
      <c r="M7" s="258"/>
      <c r="N7" s="258"/>
      <c r="O7" s="258"/>
      <c r="P7" s="258"/>
      <c r="Q7" s="258"/>
      <c r="R7" s="258"/>
      <c r="S7" s="258"/>
      <c r="T7" s="258"/>
      <c r="U7" s="258"/>
      <c r="V7" s="258"/>
      <c r="W7" s="258"/>
      <c r="X7" s="258"/>
      <c r="Y7" s="258"/>
      <c r="Z7" s="258"/>
      <c r="AA7" s="258"/>
      <c r="AB7" s="258"/>
      <c r="AC7" s="258"/>
      <c r="AD7" s="258"/>
      <c r="AE7" s="258"/>
      <c r="AF7" s="258"/>
      <c r="AG7" s="258"/>
      <c r="AH7" s="258"/>
      <c r="AI7" s="258"/>
      <c r="AJ7" s="258"/>
      <c r="AK7" s="258"/>
      <c r="AL7" s="20"/>
      <c r="AM7" s="21"/>
      <c r="AN7" s="21"/>
      <c r="AO7" s="21"/>
      <c r="AP7" s="22"/>
      <c r="AQ7" s="22"/>
    </row>
    <row r="8" spans="1:43" s="3" customFormat="1" ht="18.75">
      <c r="A8" s="30"/>
      <c r="B8" s="11"/>
      <c r="C8" s="11"/>
      <c r="D8" s="256" t="s">
        <v>48</v>
      </c>
      <c r="E8" s="256"/>
      <c r="F8" s="256"/>
      <c r="G8" s="256"/>
      <c r="H8" s="256"/>
      <c r="I8" s="256"/>
      <c r="J8" s="256"/>
      <c r="K8" s="256"/>
      <c r="L8" s="256"/>
      <c r="M8" s="256"/>
      <c r="N8" s="256"/>
      <c r="O8" s="256"/>
      <c r="P8" s="256"/>
      <c r="Q8" s="256"/>
      <c r="R8" s="256"/>
      <c r="S8" s="256"/>
      <c r="T8" s="256"/>
      <c r="U8" s="256"/>
      <c r="V8" s="256"/>
      <c r="W8" s="256"/>
      <c r="X8" s="256"/>
      <c r="Y8" s="256"/>
      <c r="Z8" s="256"/>
      <c r="AA8" s="256"/>
      <c r="AB8" s="256"/>
      <c r="AC8" s="256"/>
      <c r="AD8" s="256"/>
      <c r="AE8" s="256"/>
      <c r="AF8" s="256"/>
      <c r="AG8" s="256"/>
      <c r="AH8" s="256"/>
      <c r="AI8" s="256"/>
      <c r="AJ8" s="256"/>
      <c r="AK8" s="256"/>
      <c r="AL8" s="17"/>
      <c r="AM8" s="18"/>
      <c r="AN8" s="18"/>
      <c r="AO8" s="18"/>
      <c r="AP8" s="22"/>
      <c r="AQ8" s="22"/>
    </row>
    <row r="9" spans="1:43" s="3" customFormat="1" ht="18.75">
      <c r="A9" s="30"/>
      <c r="B9" s="11"/>
      <c r="C9" s="11"/>
      <c r="D9" s="260" t="s">
        <v>215</v>
      </c>
      <c r="E9" s="260"/>
      <c r="F9" s="260"/>
      <c r="G9" s="260"/>
      <c r="H9" s="260"/>
      <c r="I9" s="260"/>
      <c r="J9" s="260"/>
      <c r="K9" s="260"/>
      <c r="L9" s="260"/>
      <c r="M9" s="260"/>
      <c r="N9" s="260"/>
      <c r="O9" s="260"/>
      <c r="P9" s="260"/>
      <c r="Q9" s="260"/>
      <c r="R9" s="260"/>
      <c r="S9" s="260"/>
      <c r="T9" s="260"/>
      <c r="U9" s="260"/>
      <c r="V9" s="260"/>
      <c r="W9" s="260"/>
      <c r="X9" s="260"/>
      <c r="Y9" s="260"/>
      <c r="Z9" s="260"/>
      <c r="AA9" s="260"/>
      <c r="AB9" s="260"/>
      <c r="AC9" s="260"/>
      <c r="AD9" s="260"/>
      <c r="AE9" s="260"/>
      <c r="AF9" s="260"/>
      <c r="AG9" s="260"/>
      <c r="AH9" s="260"/>
      <c r="AI9" s="260"/>
      <c r="AJ9" s="260"/>
      <c r="AK9" s="260"/>
      <c r="AL9" s="17"/>
      <c r="AM9" s="18"/>
      <c r="AN9" s="18"/>
      <c r="AO9" s="18"/>
      <c r="AP9" s="22"/>
      <c r="AQ9" s="22"/>
    </row>
    <row r="10" spans="1:85" s="9" customFormat="1" ht="19.5">
      <c r="A10" s="28"/>
      <c r="B10" s="11"/>
      <c r="C10" s="11"/>
      <c r="D10" s="11"/>
      <c r="E10" s="11"/>
      <c r="F10" s="11"/>
      <c r="G10" s="11"/>
      <c r="H10" s="11"/>
      <c r="I10" s="11"/>
      <c r="J10" s="23" t="s">
        <v>37</v>
      </c>
      <c r="K10" s="23"/>
      <c r="L10" s="23"/>
      <c r="M10" s="23"/>
      <c r="N10" s="23"/>
      <c r="O10" s="23"/>
      <c r="P10" s="23"/>
      <c r="Q10" s="2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23"/>
      <c r="AC10" s="23"/>
      <c r="AD10" s="23"/>
      <c r="AE10" s="24"/>
      <c r="AF10" s="25"/>
      <c r="AG10" s="25"/>
      <c r="AH10" s="25"/>
      <c r="AI10" s="25"/>
      <c r="AJ10" s="54"/>
      <c r="AK10" s="26"/>
      <c r="AL10" s="26"/>
      <c r="AM10" s="19"/>
      <c r="AN10" s="19"/>
      <c r="AO10" s="19"/>
      <c r="AP10" s="19"/>
      <c r="AQ10" s="19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</row>
    <row r="11" spans="1:85" s="9" customFormat="1" ht="15.75" customHeight="1">
      <c r="A11" s="28"/>
      <c r="B11" s="11"/>
      <c r="C11" s="11"/>
      <c r="D11" s="11"/>
      <c r="E11" s="11"/>
      <c r="F11" s="11"/>
      <c r="G11" s="11"/>
      <c r="H11" s="11"/>
      <c r="I11" s="11"/>
      <c r="J11" s="252" t="s">
        <v>67</v>
      </c>
      <c r="K11" s="252"/>
      <c r="L11" s="252"/>
      <c r="M11" s="252"/>
      <c r="N11" s="252"/>
      <c r="O11" s="252"/>
      <c r="P11" s="252"/>
      <c r="Q11" s="252"/>
      <c r="R11" s="252"/>
      <c r="S11" s="252"/>
      <c r="T11" s="252"/>
      <c r="U11" s="252"/>
      <c r="V11" s="252"/>
      <c r="W11" s="252"/>
      <c r="X11" s="252"/>
      <c r="Y11" s="252"/>
      <c r="Z11" s="252"/>
      <c r="AA11" s="252"/>
      <c r="AB11" s="252"/>
      <c r="AC11" s="252"/>
      <c r="AD11" s="252"/>
      <c r="AE11" s="252"/>
      <c r="AF11" s="252"/>
      <c r="AG11" s="252"/>
      <c r="AH11" s="252"/>
      <c r="AI11" s="252"/>
      <c r="AJ11" s="252"/>
      <c r="AK11" s="252"/>
      <c r="AL11" s="15"/>
      <c r="AM11" s="6"/>
      <c r="AN11" s="6"/>
      <c r="AO11" s="6"/>
      <c r="AP11" s="6"/>
      <c r="AQ11" s="6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</row>
    <row r="12" spans="1:43" ht="15.75" customHeight="1">
      <c r="A12" s="27"/>
      <c r="B12" s="10"/>
      <c r="C12" s="10"/>
      <c r="D12" s="10"/>
      <c r="E12" s="10"/>
      <c r="F12" s="10"/>
      <c r="G12" s="10"/>
      <c r="H12" s="10"/>
      <c r="I12" s="10"/>
      <c r="J12" s="252" t="s">
        <v>66</v>
      </c>
      <c r="K12" s="252"/>
      <c r="L12" s="252"/>
      <c r="M12" s="252"/>
      <c r="N12" s="252"/>
      <c r="O12" s="252"/>
      <c r="P12" s="252"/>
      <c r="Q12" s="252"/>
      <c r="R12" s="252"/>
      <c r="S12" s="252"/>
      <c r="T12" s="252"/>
      <c r="U12" s="252"/>
      <c r="V12" s="252"/>
      <c r="W12" s="252"/>
      <c r="X12" s="252"/>
      <c r="Y12" s="252"/>
      <c r="Z12" s="252"/>
      <c r="AA12" s="252"/>
      <c r="AB12" s="252"/>
      <c r="AC12" s="252"/>
      <c r="AD12" s="252"/>
      <c r="AE12" s="252"/>
      <c r="AF12" s="252"/>
      <c r="AG12" s="252"/>
      <c r="AH12" s="252"/>
      <c r="AI12" s="252"/>
      <c r="AJ12" s="252"/>
      <c r="AK12" s="252"/>
      <c r="AL12" s="15"/>
      <c r="AM12" s="6"/>
      <c r="AN12" s="6"/>
      <c r="AO12" s="6"/>
      <c r="AP12" s="6"/>
      <c r="AQ12" s="6"/>
    </row>
    <row r="13" spans="1:43" ht="15.75" customHeight="1">
      <c r="A13" s="27"/>
      <c r="B13" s="10"/>
      <c r="C13" s="10"/>
      <c r="D13" s="10"/>
      <c r="E13" s="10"/>
      <c r="F13" s="10"/>
      <c r="G13" s="10"/>
      <c r="H13" s="10"/>
      <c r="I13" s="10"/>
      <c r="J13" s="252" t="s">
        <v>65</v>
      </c>
      <c r="K13" s="252"/>
      <c r="L13" s="252"/>
      <c r="M13" s="252"/>
      <c r="N13" s="252"/>
      <c r="O13" s="252"/>
      <c r="P13" s="252"/>
      <c r="Q13" s="252"/>
      <c r="R13" s="252"/>
      <c r="S13" s="252"/>
      <c r="T13" s="252"/>
      <c r="U13" s="252"/>
      <c r="V13" s="252"/>
      <c r="W13" s="252"/>
      <c r="X13" s="252"/>
      <c r="Y13" s="252"/>
      <c r="Z13" s="252"/>
      <c r="AA13" s="252"/>
      <c r="AB13" s="252"/>
      <c r="AC13" s="64"/>
      <c r="AD13" s="64"/>
      <c r="AE13" s="64"/>
      <c r="AF13" s="64"/>
      <c r="AG13" s="64"/>
      <c r="AH13" s="64"/>
      <c r="AI13" s="64"/>
      <c r="AJ13" s="64"/>
      <c r="AK13" s="64"/>
      <c r="AL13" s="15"/>
      <c r="AM13" s="6"/>
      <c r="AN13" s="6"/>
      <c r="AO13" s="6"/>
      <c r="AP13" s="6"/>
      <c r="AQ13" s="6"/>
    </row>
    <row r="14" spans="1:43" ht="15.75" customHeight="1">
      <c r="A14" s="27"/>
      <c r="B14" s="10"/>
      <c r="C14" s="10"/>
      <c r="D14" s="10"/>
      <c r="E14" s="10"/>
      <c r="F14" s="10"/>
      <c r="G14" s="10"/>
      <c r="H14" s="10"/>
      <c r="I14" s="10"/>
      <c r="J14" s="252" t="s">
        <v>64</v>
      </c>
      <c r="K14" s="252"/>
      <c r="L14" s="252"/>
      <c r="M14" s="252"/>
      <c r="N14" s="252"/>
      <c r="O14" s="252"/>
      <c r="P14" s="252"/>
      <c r="Q14" s="252"/>
      <c r="R14" s="252"/>
      <c r="S14" s="252"/>
      <c r="T14" s="252"/>
      <c r="U14" s="252"/>
      <c r="V14" s="252"/>
      <c r="W14" s="252"/>
      <c r="X14" s="252"/>
      <c r="Y14" s="252"/>
      <c r="Z14" s="252"/>
      <c r="AA14" s="252"/>
      <c r="AB14" s="252"/>
      <c r="AC14" s="64"/>
      <c r="AD14" s="64"/>
      <c r="AE14" s="64"/>
      <c r="AF14" s="64"/>
      <c r="AG14" s="64"/>
      <c r="AH14" s="64"/>
      <c r="AI14" s="64"/>
      <c r="AJ14" s="64"/>
      <c r="AK14" s="64"/>
      <c r="AL14" s="15"/>
      <c r="AM14" s="6"/>
      <c r="AN14" s="6"/>
      <c r="AO14" s="6"/>
      <c r="AP14" s="6"/>
      <c r="AQ14" s="6"/>
    </row>
    <row r="15" spans="1:43" ht="33.75" customHeight="1">
      <c r="A15" s="27"/>
      <c r="B15" s="10"/>
      <c r="C15" s="10"/>
      <c r="D15" s="10"/>
      <c r="E15" s="10"/>
      <c r="F15" s="10"/>
      <c r="G15" s="10"/>
      <c r="H15" s="10"/>
      <c r="I15" s="10"/>
      <c r="J15" s="254" t="s">
        <v>68</v>
      </c>
      <c r="K15" s="254"/>
      <c r="L15" s="254"/>
      <c r="M15" s="254"/>
      <c r="N15" s="254"/>
      <c r="O15" s="254"/>
      <c r="P15" s="254"/>
      <c r="Q15" s="254"/>
      <c r="R15" s="254"/>
      <c r="S15" s="254"/>
      <c r="T15" s="254"/>
      <c r="U15" s="254"/>
      <c r="V15" s="254"/>
      <c r="W15" s="254"/>
      <c r="X15" s="254"/>
      <c r="Y15" s="254"/>
      <c r="Z15" s="254"/>
      <c r="AA15" s="254"/>
      <c r="AB15" s="254"/>
      <c r="AC15" s="16"/>
      <c r="AD15" s="16"/>
      <c r="AE15" s="15"/>
      <c r="AF15" s="15"/>
      <c r="AG15" s="15"/>
      <c r="AH15" s="15"/>
      <c r="AI15" s="15"/>
      <c r="AJ15" s="55"/>
      <c r="AK15" s="15"/>
      <c r="AL15" s="15"/>
      <c r="AM15" s="6"/>
      <c r="AN15" s="6"/>
      <c r="AO15" s="6"/>
      <c r="AP15" s="6"/>
      <c r="AQ15" s="6"/>
    </row>
    <row r="16" spans="1:38" s="35" customFormat="1" ht="15" customHeight="1">
      <c r="A16" s="10"/>
      <c r="B16" s="268" t="s">
        <v>38</v>
      </c>
      <c r="C16" s="269"/>
      <c r="D16" s="269"/>
      <c r="E16" s="269"/>
      <c r="F16" s="269"/>
      <c r="G16" s="269"/>
      <c r="H16" s="269"/>
      <c r="I16" s="269"/>
      <c r="J16" s="269"/>
      <c r="K16" s="269"/>
      <c r="L16" s="269"/>
      <c r="M16" s="269"/>
      <c r="N16" s="269"/>
      <c r="O16" s="269"/>
      <c r="P16" s="269"/>
      <c r="Q16" s="269"/>
      <c r="R16" s="270"/>
      <c r="S16" s="229" t="s">
        <v>41</v>
      </c>
      <c r="T16" s="244"/>
      <c r="U16" s="244"/>
      <c r="V16" s="244"/>
      <c r="W16" s="244"/>
      <c r="X16" s="244"/>
      <c r="Y16" s="244"/>
      <c r="Z16" s="244"/>
      <c r="AA16" s="230"/>
      <c r="AB16" s="265" t="s">
        <v>42</v>
      </c>
      <c r="AC16" s="263" t="s">
        <v>34</v>
      </c>
      <c r="AD16" s="229" t="s">
        <v>43</v>
      </c>
      <c r="AE16" s="244"/>
      <c r="AF16" s="244"/>
      <c r="AG16" s="244"/>
      <c r="AH16" s="244"/>
      <c r="AI16" s="230"/>
      <c r="AJ16" s="253" t="s">
        <v>39</v>
      </c>
      <c r="AK16" s="253"/>
      <c r="AL16" s="10"/>
    </row>
    <row r="17" spans="1:38" s="35" customFormat="1" ht="15" customHeight="1">
      <c r="A17" s="10"/>
      <c r="B17" s="229" t="s">
        <v>44</v>
      </c>
      <c r="C17" s="244"/>
      <c r="D17" s="230"/>
      <c r="E17" s="229" t="s">
        <v>45</v>
      </c>
      <c r="F17" s="230"/>
      <c r="G17" s="229" t="s">
        <v>46</v>
      </c>
      <c r="H17" s="230"/>
      <c r="I17" s="229" t="s">
        <v>55</v>
      </c>
      <c r="J17" s="244"/>
      <c r="K17" s="244"/>
      <c r="L17" s="244"/>
      <c r="M17" s="244"/>
      <c r="N17" s="244"/>
      <c r="O17" s="244"/>
      <c r="P17" s="244"/>
      <c r="Q17" s="244"/>
      <c r="R17" s="230"/>
      <c r="S17" s="231"/>
      <c r="T17" s="259"/>
      <c r="U17" s="259"/>
      <c r="V17" s="259"/>
      <c r="W17" s="259"/>
      <c r="X17" s="259"/>
      <c r="Y17" s="259"/>
      <c r="Z17" s="259"/>
      <c r="AA17" s="232"/>
      <c r="AB17" s="266"/>
      <c r="AC17" s="263"/>
      <c r="AD17" s="233"/>
      <c r="AE17" s="245"/>
      <c r="AF17" s="245"/>
      <c r="AG17" s="245"/>
      <c r="AH17" s="245"/>
      <c r="AI17" s="234"/>
      <c r="AJ17" s="253"/>
      <c r="AK17" s="253"/>
      <c r="AL17" s="10"/>
    </row>
    <row r="18" spans="1:38" s="35" customFormat="1" ht="25.5">
      <c r="A18" s="10"/>
      <c r="B18" s="231"/>
      <c r="C18" s="259"/>
      <c r="D18" s="232"/>
      <c r="E18" s="231"/>
      <c r="F18" s="232"/>
      <c r="G18" s="231"/>
      <c r="H18" s="232"/>
      <c r="I18" s="233"/>
      <c r="J18" s="245"/>
      <c r="K18" s="245"/>
      <c r="L18" s="245"/>
      <c r="M18" s="245"/>
      <c r="N18" s="245"/>
      <c r="O18" s="245"/>
      <c r="P18" s="245"/>
      <c r="Q18" s="245"/>
      <c r="R18" s="234"/>
      <c r="S18" s="233"/>
      <c r="T18" s="245"/>
      <c r="U18" s="245"/>
      <c r="V18" s="245"/>
      <c r="W18" s="245"/>
      <c r="X18" s="245"/>
      <c r="Y18" s="245"/>
      <c r="Z18" s="245"/>
      <c r="AA18" s="234"/>
      <c r="AB18" s="266"/>
      <c r="AC18" s="263"/>
      <c r="AD18" s="38">
        <v>2022</v>
      </c>
      <c r="AE18" s="38">
        <v>2023</v>
      </c>
      <c r="AF18" s="38">
        <v>2024</v>
      </c>
      <c r="AG18" s="38">
        <v>2025</v>
      </c>
      <c r="AH18" s="38">
        <v>2026</v>
      </c>
      <c r="AI18" s="38">
        <v>2027</v>
      </c>
      <c r="AJ18" s="56" t="s">
        <v>35</v>
      </c>
      <c r="AK18" s="44" t="s">
        <v>36</v>
      </c>
      <c r="AL18" s="10"/>
    </row>
    <row r="19" spans="1:38" s="35" customFormat="1" ht="78" customHeight="1">
      <c r="A19" s="10"/>
      <c r="B19" s="233"/>
      <c r="C19" s="245"/>
      <c r="D19" s="234"/>
      <c r="E19" s="233"/>
      <c r="F19" s="234"/>
      <c r="G19" s="233"/>
      <c r="H19" s="234"/>
      <c r="I19" s="242" t="s">
        <v>56</v>
      </c>
      <c r="J19" s="243"/>
      <c r="K19" s="65" t="s">
        <v>57</v>
      </c>
      <c r="L19" s="242" t="s">
        <v>58</v>
      </c>
      <c r="M19" s="243"/>
      <c r="N19" s="242" t="s">
        <v>59</v>
      </c>
      <c r="O19" s="271"/>
      <c r="P19" s="271"/>
      <c r="Q19" s="271"/>
      <c r="R19" s="243"/>
      <c r="S19" s="242" t="s">
        <v>56</v>
      </c>
      <c r="T19" s="243"/>
      <c r="U19" s="65" t="s">
        <v>57</v>
      </c>
      <c r="V19" s="65" t="s">
        <v>60</v>
      </c>
      <c r="W19" s="65" t="s">
        <v>61</v>
      </c>
      <c r="X19" s="242" t="s">
        <v>62</v>
      </c>
      <c r="Y19" s="243"/>
      <c r="Z19" s="242" t="s">
        <v>63</v>
      </c>
      <c r="AA19" s="243"/>
      <c r="AB19" s="267"/>
      <c r="AC19" s="38"/>
      <c r="AD19" s="38"/>
      <c r="AE19" s="38"/>
      <c r="AF19" s="38"/>
      <c r="AG19" s="38"/>
      <c r="AH19" s="38"/>
      <c r="AI19" s="38"/>
      <c r="AJ19" s="56"/>
      <c r="AK19" s="44"/>
      <c r="AL19" s="10"/>
    </row>
    <row r="20" spans="1:38" s="35" customFormat="1" ht="15.75" customHeight="1">
      <c r="A20" s="10"/>
      <c r="B20" s="38">
        <v>1</v>
      </c>
      <c r="C20" s="38">
        <v>2</v>
      </c>
      <c r="D20" s="38">
        <v>3</v>
      </c>
      <c r="E20" s="38">
        <v>4</v>
      </c>
      <c r="F20" s="38">
        <v>5</v>
      </c>
      <c r="G20" s="38">
        <v>6</v>
      </c>
      <c r="H20" s="38">
        <v>7</v>
      </c>
      <c r="I20" s="38">
        <v>8</v>
      </c>
      <c r="J20" s="38">
        <v>9</v>
      </c>
      <c r="K20" s="38">
        <v>10</v>
      </c>
      <c r="L20" s="38">
        <v>11</v>
      </c>
      <c r="M20" s="38">
        <v>12</v>
      </c>
      <c r="N20" s="38">
        <v>13</v>
      </c>
      <c r="O20" s="38">
        <v>14</v>
      </c>
      <c r="P20" s="38">
        <v>15</v>
      </c>
      <c r="Q20" s="38">
        <v>16</v>
      </c>
      <c r="R20" s="38">
        <v>17</v>
      </c>
      <c r="S20" s="38">
        <v>18</v>
      </c>
      <c r="T20" s="38">
        <v>19</v>
      </c>
      <c r="U20" s="38">
        <v>20</v>
      </c>
      <c r="V20" s="38">
        <v>21</v>
      </c>
      <c r="W20" s="38">
        <v>22</v>
      </c>
      <c r="X20" s="38">
        <v>23</v>
      </c>
      <c r="Y20" s="38">
        <v>24</v>
      </c>
      <c r="Z20" s="38">
        <v>25</v>
      </c>
      <c r="AA20" s="38">
        <v>26</v>
      </c>
      <c r="AB20" s="38">
        <v>27</v>
      </c>
      <c r="AC20" s="38">
        <v>28</v>
      </c>
      <c r="AD20" s="38">
        <v>29</v>
      </c>
      <c r="AE20" s="38">
        <v>30</v>
      </c>
      <c r="AF20" s="38">
        <v>31</v>
      </c>
      <c r="AG20" s="38">
        <v>32</v>
      </c>
      <c r="AH20" s="38">
        <v>33</v>
      </c>
      <c r="AI20" s="38">
        <v>34</v>
      </c>
      <c r="AJ20" s="57">
        <v>35</v>
      </c>
      <c r="AK20" s="38">
        <v>36</v>
      </c>
      <c r="AL20" s="10"/>
    </row>
    <row r="21" spans="1:38" s="35" customFormat="1" ht="21" customHeight="1">
      <c r="A21" s="10"/>
      <c r="B21" s="37"/>
      <c r="C21" s="37"/>
      <c r="D21" s="184"/>
      <c r="E21" s="184"/>
      <c r="F21" s="184"/>
      <c r="G21" s="184"/>
      <c r="H21" s="184"/>
      <c r="I21" s="184"/>
      <c r="J21" s="184"/>
      <c r="K21" s="184"/>
      <c r="L21" s="184"/>
      <c r="M21" s="184"/>
      <c r="N21" s="184"/>
      <c r="O21" s="184"/>
      <c r="P21" s="37"/>
      <c r="Q21" s="37"/>
      <c r="R21" s="37"/>
      <c r="S21" s="37">
        <v>1</v>
      </c>
      <c r="T21" s="37">
        <v>2</v>
      </c>
      <c r="U21" s="37">
        <v>0</v>
      </c>
      <c r="V21" s="37">
        <v>0</v>
      </c>
      <c r="W21" s="37">
        <v>0</v>
      </c>
      <c r="X21" s="37">
        <v>0</v>
      </c>
      <c r="Y21" s="37">
        <v>0</v>
      </c>
      <c r="Z21" s="37">
        <v>0</v>
      </c>
      <c r="AA21" s="37">
        <v>0</v>
      </c>
      <c r="AB21" s="124" t="s">
        <v>40</v>
      </c>
      <c r="AC21" s="71" t="s">
        <v>93</v>
      </c>
      <c r="AD21" s="125">
        <f>AD30+AD139+AD192+AD224+AD261+AD274+AD279+AD285+AD287+AD294+AD296+AD302+AD304+AD306+AD312</f>
        <v>385184649.19000006</v>
      </c>
      <c r="AE21" s="125">
        <f>AE30+AE139+AE192+AE224+AE261+AE274</f>
        <v>400988149.21000004</v>
      </c>
      <c r="AF21" s="125">
        <f>AF30+AF139+AF224</f>
        <v>443400187.51000005</v>
      </c>
      <c r="AG21" s="125">
        <f>AG30+AG139+AG224</f>
        <v>435835206.9000001</v>
      </c>
      <c r="AH21" s="125">
        <f>AH30+AH139+AH224</f>
        <v>426617839.36</v>
      </c>
      <c r="AI21" s="125">
        <f>AI30+AI139+AI224</f>
        <v>316038322.62</v>
      </c>
      <c r="AJ21" s="125">
        <f>SUM(AD21:AI21)</f>
        <v>2408064354.79</v>
      </c>
      <c r="AK21" s="88">
        <v>2027</v>
      </c>
      <c r="AL21" s="10"/>
    </row>
    <row r="22" spans="1:38" s="35" customFormat="1" ht="19.5" customHeight="1">
      <c r="A22" s="10"/>
      <c r="B22" s="37"/>
      <c r="C22" s="37"/>
      <c r="D22" s="184"/>
      <c r="E22" s="184"/>
      <c r="F22" s="184"/>
      <c r="G22" s="184"/>
      <c r="H22" s="184"/>
      <c r="I22" s="184"/>
      <c r="J22" s="184"/>
      <c r="K22" s="184"/>
      <c r="L22" s="184"/>
      <c r="M22" s="184"/>
      <c r="N22" s="184"/>
      <c r="O22" s="184"/>
      <c r="P22" s="184"/>
      <c r="Q22" s="184"/>
      <c r="R22" s="184"/>
      <c r="S22" s="37">
        <v>1</v>
      </c>
      <c r="T22" s="37">
        <v>2</v>
      </c>
      <c r="U22" s="37">
        <v>0</v>
      </c>
      <c r="V22" s="37">
        <v>0</v>
      </c>
      <c r="W22" s="37">
        <v>0</v>
      </c>
      <c r="X22" s="37">
        <v>0</v>
      </c>
      <c r="Y22" s="37">
        <v>0</v>
      </c>
      <c r="Z22" s="37">
        <v>0</v>
      </c>
      <c r="AA22" s="37">
        <v>0</v>
      </c>
      <c r="AB22" s="41" t="s">
        <v>47</v>
      </c>
      <c r="AC22" s="36"/>
      <c r="AD22" s="87"/>
      <c r="AE22" s="49"/>
      <c r="AF22" s="87"/>
      <c r="AG22" s="87"/>
      <c r="AH22" s="87"/>
      <c r="AI22" s="87"/>
      <c r="AJ22" s="58"/>
      <c r="AK22" s="49"/>
      <c r="AL22" s="10"/>
    </row>
    <row r="23" spans="1:38" s="35" customFormat="1" ht="60" customHeight="1">
      <c r="A23" s="10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>
        <v>1</v>
      </c>
      <c r="T23" s="37">
        <v>2</v>
      </c>
      <c r="U23" s="37">
        <v>0</v>
      </c>
      <c r="V23" s="37">
        <v>1</v>
      </c>
      <c r="W23" s="37">
        <v>0</v>
      </c>
      <c r="X23" s="37">
        <v>0</v>
      </c>
      <c r="Y23" s="37">
        <v>0</v>
      </c>
      <c r="Z23" s="37">
        <v>0</v>
      </c>
      <c r="AA23" s="37">
        <v>0</v>
      </c>
      <c r="AB23" s="77" t="s">
        <v>69</v>
      </c>
      <c r="AC23" s="36"/>
      <c r="AD23" s="49"/>
      <c r="AE23" s="49"/>
      <c r="AF23" s="49"/>
      <c r="AG23" s="49"/>
      <c r="AH23" s="49"/>
      <c r="AI23" s="49"/>
      <c r="AJ23" s="58"/>
      <c r="AK23" s="49"/>
      <c r="AL23" s="10"/>
    </row>
    <row r="24" spans="1:38" s="35" customFormat="1" ht="61.5" customHeight="1">
      <c r="A24" s="10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>
        <v>1</v>
      </c>
      <c r="T24" s="37">
        <v>2</v>
      </c>
      <c r="U24" s="37">
        <v>0</v>
      </c>
      <c r="V24" s="37">
        <v>1</v>
      </c>
      <c r="W24" s="37">
        <v>0</v>
      </c>
      <c r="X24" s="37">
        <v>0</v>
      </c>
      <c r="Y24" s="37">
        <v>0</v>
      </c>
      <c r="Z24" s="37">
        <v>0</v>
      </c>
      <c r="AA24" s="37">
        <v>1</v>
      </c>
      <c r="AB24" s="77" t="s">
        <v>176</v>
      </c>
      <c r="AC24" s="50" t="s">
        <v>94</v>
      </c>
      <c r="AD24" s="49">
        <v>89.3</v>
      </c>
      <c r="AE24" s="49">
        <v>89.3</v>
      </c>
      <c r="AF24" s="49">
        <v>89.3</v>
      </c>
      <c r="AG24" s="49">
        <v>89.3</v>
      </c>
      <c r="AH24" s="49">
        <v>89.3</v>
      </c>
      <c r="AI24" s="49">
        <v>89.3</v>
      </c>
      <c r="AJ24" s="58">
        <v>89.3</v>
      </c>
      <c r="AK24" s="49">
        <v>2027</v>
      </c>
      <c r="AL24" s="10"/>
    </row>
    <row r="25" spans="1:38" s="35" customFormat="1" ht="48" customHeight="1">
      <c r="A25" s="10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>
        <v>1</v>
      </c>
      <c r="T25" s="37">
        <v>2</v>
      </c>
      <c r="U25" s="37">
        <v>0</v>
      </c>
      <c r="V25" s="37">
        <v>1</v>
      </c>
      <c r="W25" s="37">
        <v>0</v>
      </c>
      <c r="X25" s="37">
        <v>0</v>
      </c>
      <c r="Y25" s="37">
        <v>0</v>
      </c>
      <c r="Z25" s="37">
        <v>0</v>
      </c>
      <c r="AA25" s="37">
        <v>2</v>
      </c>
      <c r="AB25" s="77" t="s">
        <v>225</v>
      </c>
      <c r="AC25" s="50" t="s">
        <v>94</v>
      </c>
      <c r="AD25" s="49">
        <v>80</v>
      </c>
      <c r="AE25" s="49">
        <v>80</v>
      </c>
      <c r="AF25" s="49">
        <v>80</v>
      </c>
      <c r="AG25" s="49">
        <v>80</v>
      </c>
      <c r="AH25" s="49">
        <v>80</v>
      </c>
      <c r="AI25" s="49">
        <v>80</v>
      </c>
      <c r="AJ25" s="58">
        <v>80</v>
      </c>
      <c r="AK25" s="49">
        <v>2027</v>
      </c>
      <c r="AL25" s="10"/>
    </row>
    <row r="26" spans="1:38" s="35" customFormat="1" ht="81.75" customHeight="1">
      <c r="A26" s="10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>
        <v>1</v>
      </c>
      <c r="T26" s="37">
        <v>2</v>
      </c>
      <c r="U26" s="37">
        <v>0</v>
      </c>
      <c r="V26" s="37">
        <v>1</v>
      </c>
      <c r="W26" s="37">
        <v>0</v>
      </c>
      <c r="X26" s="37">
        <v>0</v>
      </c>
      <c r="Y26" s="37">
        <v>0</v>
      </c>
      <c r="Z26" s="37">
        <v>0</v>
      </c>
      <c r="AA26" s="37">
        <v>3</v>
      </c>
      <c r="AB26" s="77" t="s">
        <v>151</v>
      </c>
      <c r="AC26" s="50" t="s">
        <v>94</v>
      </c>
      <c r="AD26" s="49">
        <v>98.6</v>
      </c>
      <c r="AE26" s="51">
        <v>98.6</v>
      </c>
      <c r="AF26" s="49">
        <v>98.6</v>
      </c>
      <c r="AG26" s="49">
        <v>98.6</v>
      </c>
      <c r="AH26" s="49">
        <v>98.6</v>
      </c>
      <c r="AI26" s="49">
        <v>98.6</v>
      </c>
      <c r="AJ26" s="58">
        <v>98.6</v>
      </c>
      <c r="AK26" s="49">
        <v>2027</v>
      </c>
      <c r="AL26" s="10"/>
    </row>
    <row r="27" spans="1:38" s="35" customFormat="1" ht="126.75" customHeight="1">
      <c r="A27" s="10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>
        <v>1</v>
      </c>
      <c r="T27" s="37">
        <v>2</v>
      </c>
      <c r="U27" s="37">
        <v>0</v>
      </c>
      <c r="V27" s="37">
        <v>1</v>
      </c>
      <c r="W27" s="37">
        <v>0</v>
      </c>
      <c r="X27" s="37">
        <v>0</v>
      </c>
      <c r="Y27" s="37">
        <v>0</v>
      </c>
      <c r="Z27" s="37">
        <v>0</v>
      </c>
      <c r="AA27" s="37">
        <v>4</v>
      </c>
      <c r="AB27" s="77" t="s">
        <v>0</v>
      </c>
      <c r="AC27" s="50" t="s">
        <v>94</v>
      </c>
      <c r="AD27" s="49">
        <v>100</v>
      </c>
      <c r="AE27" s="49">
        <v>100</v>
      </c>
      <c r="AF27" s="49">
        <v>100</v>
      </c>
      <c r="AG27" s="49">
        <v>100</v>
      </c>
      <c r="AH27" s="49">
        <v>100</v>
      </c>
      <c r="AI27" s="49">
        <v>100</v>
      </c>
      <c r="AJ27" s="58">
        <v>100</v>
      </c>
      <c r="AK27" s="49">
        <v>2027</v>
      </c>
      <c r="AL27" s="10"/>
    </row>
    <row r="28" spans="1:38" s="35" customFormat="1" ht="48" customHeight="1">
      <c r="A28" s="10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>
        <v>1</v>
      </c>
      <c r="T28" s="37">
        <v>2</v>
      </c>
      <c r="U28" s="37">
        <v>0</v>
      </c>
      <c r="V28" s="37">
        <v>1</v>
      </c>
      <c r="W28" s="37">
        <v>0</v>
      </c>
      <c r="X28" s="37">
        <v>0</v>
      </c>
      <c r="Y28" s="37">
        <v>0</v>
      </c>
      <c r="Z28" s="37">
        <v>0</v>
      </c>
      <c r="AA28" s="37">
        <v>5</v>
      </c>
      <c r="AB28" s="77" t="s">
        <v>177</v>
      </c>
      <c r="AC28" s="50" t="s">
        <v>94</v>
      </c>
      <c r="AD28" s="49">
        <v>54.03</v>
      </c>
      <c r="AE28" s="49">
        <v>56.03</v>
      </c>
      <c r="AF28" s="49">
        <v>55.85</v>
      </c>
      <c r="AG28" s="49">
        <v>55.85</v>
      </c>
      <c r="AH28" s="49">
        <v>55.85</v>
      </c>
      <c r="AI28" s="49">
        <v>55.85</v>
      </c>
      <c r="AJ28" s="58">
        <f>SUM(AD28:AI28)</f>
        <v>333.46000000000004</v>
      </c>
      <c r="AK28" s="49">
        <v>2027</v>
      </c>
      <c r="AL28" s="10"/>
    </row>
    <row r="29" spans="1:38" s="8" customFormat="1" ht="60" customHeight="1">
      <c r="A29" s="10"/>
      <c r="B29" s="185"/>
      <c r="C29" s="185"/>
      <c r="D29" s="185"/>
      <c r="E29" s="185"/>
      <c r="F29" s="185"/>
      <c r="G29" s="185"/>
      <c r="H29" s="185"/>
      <c r="I29" s="185"/>
      <c r="J29" s="185"/>
      <c r="K29" s="185"/>
      <c r="L29" s="185"/>
      <c r="M29" s="185"/>
      <c r="N29" s="185"/>
      <c r="O29" s="185"/>
      <c r="P29" s="37"/>
      <c r="Q29" s="37"/>
      <c r="R29" s="37"/>
      <c r="S29" s="37">
        <v>1</v>
      </c>
      <c r="T29" s="37">
        <v>2</v>
      </c>
      <c r="U29" s="37">
        <v>0</v>
      </c>
      <c r="V29" s="37">
        <v>1</v>
      </c>
      <c r="W29" s="37">
        <v>0</v>
      </c>
      <c r="X29" s="37">
        <v>0</v>
      </c>
      <c r="Y29" s="37">
        <v>0</v>
      </c>
      <c r="Z29" s="37">
        <v>0</v>
      </c>
      <c r="AA29" s="37">
        <v>6</v>
      </c>
      <c r="AB29" s="77" t="s">
        <v>9</v>
      </c>
      <c r="AC29" s="50" t="s">
        <v>94</v>
      </c>
      <c r="AD29" s="49">
        <v>32.5</v>
      </c>
      <c r="AE29" s="49">
        <v>32.5</v>
      </c>
      <c r="AF29" s="49">
        <v>32.5</v>
      </c>
      <c r="AG29" s="49">
        <v>32.5</v>
      </c>
      <c r="AH29" s="49">
        <v>32.5</v>
      </c>
      <c r="AI29" s="49">
        <v>32.5</v>
      </c>
      <c r="AJ29" s="58">
        <v>32.5</v>
      </c>
      <c r="AK29" s="49">
        <v>2027</v>
      </c>
      <c r="AL29" s="10"/>
    </row>
    <row r="30" spans="1:38" s="8" customFormat="1" ht="51.75" customHeight="1">
      <c r="A30" s="10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>
        <v>1</v>
      </c>
      <c r="T30" s="37">
        <v>2</v>
      </c>
      <c r="U30" s="37">
        <v>1</v>
      </c>
      <c r="V30" s="37">
        <v>0</v>
      </c>
      <c r="W30" s="37">
        <v>0</v>
      </c>
      <c r="X30" s="37">
        <v>0</v>
      </c>
      <c r="Y30" s="37">
        <v>0</v>
      </c>
      <c r="Z30" s="37">
        <v>0</v>
      </c>
      <c r="AA30" s="37">
        <v>0</v>
      </c>
      <c r="AB30" s="78" t="s">
        <v>214</v>
      </c>
      <c r="AC30" s="73" t="s">
        <v>96</v>
      </c>
      <c r="AD30" s="126">
        <f>SUM(AD31)</f>
        <v>238370008.06000003</v>
      </c>
      <c r="AE30" s="126">
        <f>AE31</f>
        <v>247126606.33</v>
      </c>
      <c r="AF30" s="126">
        <f>AF31</f>
        <v>275030523.40000004</v>
      </c>
      <c r="AG30" s="126">
        <f>AG31</f>
        <v>268741496.68000007</v>
      </c>
      <c r="AH30" s="126">
        <f>AH31</f>
        <v>263510941.68000004</v>
      </c>
      <c r="AI30" s="126">
        <f>AI31</f>
        <v>205953923.57000002</v>
      </c>
      <c r="AJ30" s="126">
        <f>SUM(AD30:AI30)</f>
        <v>1498733499.72</v>
      </c>
      <c r="AK30" s="88">
        <v>2027</v>
      </c>
      <c r="AL30" s="10"/>
    </row>
    <row r="31" spans="1:38" s="8" customFormat="1" ht="30">
      <c r="A31" s="10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78" t="s">
        <v>174</v>
      </c>
      <c r="AC31" s="73"/>
      <c r="AD31" s="126">
        <f>AD43+AD46+AD50+AD51+AD52+AD58+AD73+AD76+AD79+AD81+AD85+AD87+AD89+AD99+AD104+AD112+AD114+AD116+AD127+AD134+AD135+AD137+AD60+AD62+AD64+AD66</f>
        <v>238370008.06000003</v>
      </c>
      <c r="AE31" s="126">
        <f>AE43+AE46+AE50+AE51+AE52+AE58+AE73+AE76+AE79+AE81+AE99+AE104+AE112+AE114+AE116+AE127+AE134+AE135+AE137+AE91+AE92+AE85+AE87+AE68+AE82</f>
        <v>247126606.33</v>
      </c>
      <c r="AF31" s="126">
        <f>AF43+AF46+AF50+AF51+AF52+AF58+AF73+AF76+AF79+AF81+AF99+AF104+AF112+AF114+AF116+AF127+AF134+AF135+AF137+AF91+AF68+AF82</f>
        <v>275030523.40000004</v>
      </c>
      <c r="AG31" s="126">
        <f>AG43+AG46+AG50+AG51+AG52+AG58+AG73+AG76+AG79+AG81+AG99+AG104+AG112+AG114+AG116+AG127+AG134+AG135+AG137+AG91+AG68</f>
        <v>268741496.68000007</v>
      </c>
      <c r="AH31" s="126">
        <f>AH43+AH46+AH50+AH51+AH52+AH58+AH73+AH76+AH79+AH81+AH99+AH104+AH112+AH114+AH116+AH127+AH134+AH135+AH137+AH91+AH68</f>
        <v>263510941.68000004</v>
      </c>
      <c r="AI31" s="126">
        <f>AI43+AI46+AI50+AI51+AI52+AI58+AI73+AI76+AI79+AI81+AI99+AI104+AI112+AI114+AI116+AI127+AI134+AI135+AI137+AI91</f>
        <v>205953923.57000002</v>
      </c>
      <c r="AJ31" s="126">
        <f>SUM(AD31:AI31)</f>
        <v>1498733499.72</v>
      </c>
      <c r="AK31" s="88">
        <v>2027</v>
      </c>
      <c r="AL31" s="10"/>
    </row>
    <row r="32" spans="1:38" s="8" customFormat="1" ht="54" customHeight="1">
      <c r="A32" s="10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>
        <v>1</v>
      </c>
      <c r="T32" s="37">
        <v>2</v>
      </c>
      <c r="U32" s="37">
        <v>1</v>
      </c>
      <c r="V32" s="37">
        <v>0</v>
      </c>
      <c r="W32" s="37">
        <v>1</v>
      </c>
      <c r="X32" s="37">
        <v>0</v>
      </c>
      <c r="Y32" s="37">
        <v>0</v>
      </c>
      <c r="Z32" s="37">
        <v>0</v>
      </c>
      <c r="AA32" s="37">
        <v>0</v>
      </c>
      <c r="AB32" s="127" t="s">
        <v>82</v>
      </c>
      <c r="AC32" s="144"/>
      <c r="AD32" s="212">
        <f>AD41+AD43+AD46+AD50+AD51+AD52+AD58+AD60+AD62+AD64+AD66</f>
        <v>201506568.29000002</v>
      </c>
      <c r="AE32" s="212">
        <f>AE41+AE43+AE46+AE50+AE51+AE52+AE58+AE60+AE62+AE64+AE66+AE68</f>
        <v>206542585.36999997</v>
      </c>
      <c r="AF32" s="212">
        <f>AF41+AF43+AF46+AF50+AF51+AF52+AF58+AF60+AF62+AF64+AF66+AF68</f>
        <v>232105083.20000002</v>
      </c>
      <c r="AG32" s="212">
        <f>AG41+AG43+AG46+AG50+AG51+AG52+AG58+AG60+AG62+AG64+AG66+AG68</f>
        <v>232716886.47000003</v>
      </c>
      <c r="AH32" s="212">
        <f>AH41+AH43+AH46+AH50+AH51+AH52+AH58+AH60+AH62+AH64+AH66+AH68</f>
        <v>228216886.47000003</v>
      </c>
      <c r="AI32" s="212">
        <f>AI41+AI43+AI46+AI50+AI51+AI52+AI58+AI60+AI62+AI64+AI66+AI68</f>
        <v>172755390.84</v>
      </c>
      <c r="AJ32" s="212">
        <f>SUM(AD32:AI32)</f>
        <v>1273843400.64</v>
      </c>
      <c r="AK32" s="121">
        <v>2027</v>
      </c>
      <c r="AL32" s="10"/>
    </row>
    <row r="33" spans="1:38" s="8" customFormat="1" ht="50.25" customHeight="1">
      <c r="A33" s="10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>
        <v>1</v>
      </c>
      <c r="T33" s="37">
        <v>2</v>
      </c>
      <c r="U33" s="37">
        <v>1</v>
      </c>
      <c r="V33" s="37">
        <v>0</v>
      </c>
      <c r="W33" s="37">
        <v>1</v>
      </c>
      <c r="X33" s="37">
        <v>0</v>
      </c>
      <c r="Y33" s="37">
        <v>0</v>
      </c>
      <c r="Z33" s="37">
        <v>0</v>
      </c>
      <c r="AA33" s="37">
        <v>1</v>
      </c>
      <c r="AB33" s="77" t="s">
        <v>76</v>
      </c>
      <c r="AC33" s="50" t="s">
        <v>94</v>
      </c>
      <c r="AD33" s="49">
        <v>100</v>
      </c>
      <c r="AE33" s="49">
        <v>100</v>
      </c>
      <c r="AF33" s="49">
        <v>100</v>
      </c>
      <c r="AG33" s="49">
        <v>100</v>
      </c>
      <c r="AH33" s="49">
        <v>100</v>
      </c>
      <c r="AI33" s="49">
        <v>100</v>
      </c>
      <c r="AJ33" s="58">
        <v>100</v>
      </c>
      <c r="AK33" s="49">
        <v>2027</v>
      </c>
      <c r="AL33" s="10"/>
    </row>
    <row r="34" spans="1:38" s="8" customFormat="1" ht="78.75" customHeight="1">
      <c r="A34" s="10"/>
      <c r="B34" s="185"/>
      <c r="C34" s="185"/>
      <c r="D34" s="185"/>
      <c r="E34" s="185"/>
      <c r="F34" s="185"/>
      <c r="G34" s="185"/>
      <c r="H34" s="185"/>
      <c r="I34" s="185"/>
      <c r="J34" s="185"/>
      <c r="K34" s="185"/>
      <c r="L34" s="185"/>
      <c r="M34" s="185"/>
      <c r="N34" s="185"/>
      <c r="O34" s="185"/>
      <c r="P34" s="37"/>
      <c r="Q34" s="37"/>
      <c r="R34" s="37"/>
      <c r="S34" s="37">
        <v>1</v>
      </c>
      <c r="T34" s="37">
        <v>2</v>
      </c>
      <c r="U34" s="37">
        <v>1</v>
      </c>
      <c r="V34" s="37">
        <v>0</v>
      </c>
      <c r="W34" s="37">
        <v>1</v>
      </c>
      <c r="X34" s="37">
        <v>0</v>
      </c>
      <c r="Y34" s="37">
        <v>0</v>
      </c>
      <c r="Z34" s="37">
        <v>0</v>
      </c>
      <c r="AA34" s="37">
        <v>2</v>
      </c>
      <c r="AB34" s="77" t="s">
        <v>135</v>
      </c>
      <c r="AC34" s="50" t="s">
        <v>94</v>
      </c>
      <c r="AD34" s="49">
        <v>35</v>
      </c>
      <c r="AE34" s="49">
        <v>35</v>
      </c>
      <c r="AF34" s="49">
        <v>35</v>
      </c>
      <c r="AG34" s="49">
        <v>35</v>
      </c>
      <c r="AH34" s="49">
        <v>35</v>
      </c>
      <c r="AI34" s="49">
        <v>35</v>
      </c>
      <c r="AJ34" s="58">
        <v>35</v>
      </c>
      <c r="AK34" s="49">
        <v>2027</v>
      </c>
      <c r="AL34" s="10"/>
    </row>
    <row r="35" spans="1:38" s="8" customFormat="1" ht="78" customHeight="1">
      <c r="A35" s="10"/>
      <c r="B35" s="185"/>
      <c r="C35" s="185"/>
      <c r="D35" s="185"/>
      <c r="E35" s="185"/>
      <c r="F35" s="185"/>
      <c r="G35" s="185"/>
      <c r="H35" s="185"/>
      <c r="I35" s="185"/>
      <c r="J35" s="185"/>
      <c r="K35" s="185"/>
      <c r="L35" s="185"/>
      <c r="M35" s="185"/>
      <c r="N35" s="185"/>
      <c r="O35" s="185"/>
      <c r="P35" s="37"/>
      <c r="Q35" s="37"/>
      <c r="R35" s="37"/>
      <c r="S35" s="37">
        <v>1</v>
      </c>
      <c r="T35" s="37">
        <v>2</v>
      </c>
      <c r="U35" s="37">
        <v>1</v>
      </c>
      <c r="V35" s="37">
        <v>0</v>
      </c>
      <c r="W35" s="37">
        <v>1</v>
      </c>
      <c r="X35" s="37">
        <v>0</v>
      </c>
      <c r="Y35" s="37">
        <v>0</v>
      </c>
      <c r="Z35" s="37">
        <v>0</v>
      </c>
      <c r="AA35" s="37">
        <v>3</v>
      </c>
      <c r="AB35" s="77" t="s">
        <v>216</v>
      </c>
      <c r="AC35" s="50" t="s">
        <v>94</v>
      </c>
      <c r="AD35" s="200">
        <f aca="true" t="shared" si="0" ref="AD35:AJ35">(AD43+AD46+AD58+AD73+AD79+AD81+AD112+AD114+AD116+AD134+AD135)/AD21*100</f>
        <v>47.83427891466019</v>
      </c>
      <c r="AE35" s="200">
        <f t="shared" si="0"/>
        <v>47.28603380762241</v>
      </c>
      <c r="AF35" s="200">
        <f t="shared" si="0"/>
        <v>47.74135875511461</v>
      </c>
      <c r="AG35" s="200">
        <f t="shared" si="0"/>
        <v>47.93626121350408</v>
      </c>
      <c r="AH35" s="200">
        <f t="shared" si="0"/>
        <v>47.98030681208127</v>
      </c>
      <c r="AI35" s="200">
        <f t="shared" si="0"/>
        <v>51.74083983372333</v>
      </c>
      <c r="AJ35" s="200">
        <f t="shared" si="0"/>
        <v>48.282908094098424</v>
      </c>
      <c r="AK35" s="49">
        <v>2027</v>
      </c>
      <c r="AL35" s="10"/>
    </row>
    <row r="36" spans="1:38" s="8" customFormat="1" ht="43.5" customHeight="1">
      <c r="A36" s="10"/>
      <c r="B36" s="185"/>
      <c r="C36" s="185"/>
      <c r="D36" s="185"/>
      <c r="E36" s="185"/>
      <c r="F36" s="185"/>
      <c r="G36" s="185"/>
      <c r="H36" s="185"/>
      <c r="I36" s="185"/>
      <c r="J36" s="185"/>
      <c r="K36" s="185"/>
      <c r="L36" s="185"/>
      <c r="M36" s="185"/>
      <c r="N36" s="185"/>
      <c r="O36" s="185"/>
      <c r="P36" s="37"/>
      <c r="Q36" s="37"/>
      <c r="R36" s="37"/>
      <c r="S36" s="37">
        <v>1</v>
      </c>
      <c r="T36" s="37">
        <v>2</v>
      </c>
      <c r="U36" s="37">
        <v>1</v>
      </c>
      <c r="V36" s="37">
        <v>0</v>
      </c>
      <c r="W36" s="37">
        <v>1</v>
      </c>
      <c r="X36" s="37">
        <v>0</v>
      </c>
      <c r="Y36" s="37">
        <v>0</v>
      </c>
      <c r="Z36" s="37">
        <v>0</v>
      </c>
      <c r="AA36" s="37">
        <v>4</v>
      </c>
      <c r="AB36" s="77" t="s">
        <v>136</v>
      </c>
      <c r="AC36" s="50" t="s">
        <v>94</v>
      </c>
      <c r="AD36" s="37">
        <v>98.6</v>
      </c>
      <c r="AE36" s="37">
        <v>98.6</v>
      </c>
      <c r="AF36" s="37">
        <v>98.6</v>
      </c>
      <c r="AG36" s="37">
        <v>98.6</v>
      </c>
      <c r="AH36" s="37">
        <v>98.6</v>
      </c>
      <c r="AI36" s="37">
        <v>98.6</v>
      </c>
      <c r="AJ36" s="58">
        <v>98.6</v>
      </c>
      <c r="AK36" s="49">
        <v>2027</v>
      </c>
      <c r="AL36" s="10"/>
    </row>
    <row r="37" spans="1:38" s="8" customFormat="1" ht="45.75" customHeight="1">
      <c r="A37" s="10"/>
      <c r="B37" s="185"/>
      <c r="C37" s="185"/>
      <c r="D37" s="185"/>
      <c r="E37" s="185"/>
      <c r="F37" s="185"/>
      <c r="G37" s="185"/>
      <c r="H37" s="185"/>
      <c r="I37" s="185"/>
      <c r="J37" s="185"/>
      <c r="K37" s="185"/>
      <c r="L37" s="185"/>
      <c r="M37" s="185"/>
      <c r="N37" s="185"/>
      <c r="O37" s="185"/>
      <c r="P37" s="37"/>
      <c r="Q37" s="37"/>
      <c r="R37" s="37"/>
      <c r="S37" s="37">
        <v>1</v>
      </c>
      <c r="T37" s="37">
        <v>2</v>
      </c>
      <c r="U37" s="37">
        <v>1</v>
      </c>
      <c r="V37" s="37">
        <v>0</v>
      </c>
      <c r="W37" s="37">
        <v>1</v>
      </c>
      <c r="X37" s="37">
        <v>0</v>
      </c>
      <c r="Y37" s="37">
        <v>0</v>
      </c>
      <c r="Z37" s="37">
        <v>0</v>
      </c>
      <c r="AA37" s="37">
        <v>5</v>
      </c>
      <c r="AB37" s="77" t="s">
        <v>137</v>
      </c>
      <c r="AC37" s="50" t="s">
        <v>94</v>
      </c>
      <c r="AD37" s="37">
        <v>99.6</v>
      </c>
      <c r="AE37" s="37">
        <v>99.6</v>
      </c>
      <c r="AF37" s="37">
        <v>99.6</v>
      </c>
      <c r="AG37" s="37">
        <v>99.6</v>
      </c>
      <c r="AH37" s="37">
        <v>99.6</v>
      </c>
      <c r="AI37" s="37">
        <v>99.6</v>
      </c>
      <c r="AJ37" s="58">
        <v>99.6</v>
      </c>
      <c r="AK37" s="49">
        <v>2027</v>
      </c>
      <c r="AL37" s="10"/>
    </row>
    <row r="38" spans="1:38" s="8" customFormat="1" ht="75" customHeight="1">
      <c r="A38" s="10"/>
      <c r="B38" s="185"/>
      <c r="C38" s="185"/>
      <c r="D38" s="185"/>
      <c r="E38" s="185"/>
      <c r="F38" s="185"/>
      <c r="G38" s="185"/>
      <c r="H38" s="185"/>
      <c r="I38" s="185"/>
      <c r="J38" s="185"/>
      <c r="K38" s="185"/>
      <c r="L38" s="185"/>
      <c r="M38" s="185"/>
      <c r="N38" s="185"/>
      <c r="O38" s="185"/>
      <c r="P38" s="37"/>
      <c r="Q38" s="37"/>
      <c r="R38" s="37"/>
      <c r="S38" s="37">
        <v>1</v>
      </c>
      <c r="T38" s="37">
        <v>2</v>
      </c>
      <c r="U38" s="37">
        <v>1</v>
      </c>
      <c r="V38" s="37">
        <v>0</v>
      </c>
      <c r="W38" s="37">
        <v>1</v>
      </c>
      <c r="X38" s="37">
        <v>0</v>
      </c>
      <c r="Y38" s="37">
        <v>0</v>
      </c>
      <c r="Z38" s="37">
        <v>0</v>
      </c>
      <c r="AA38" s="37">
        <v>6</v>
      </c>
      <c r="AB38" s="80" t="s">
        <v>226</v>
      </c>
      <c r="AC38" s="50" t="s">
        <v>94</v>
      </c>
      <c r="AD38" s="37">
        <v>76</v>
      </c>
      <c r="AE38" s="37">
        <v>76</v>
      </c>
      <c r="AF38" s="37">
        <v>76</v>
      </c>
      <c r="AG38" s="37">
        <v>76</v>
      </c>
      <c r="AH38" s="37">
        <v>76</v>
      </c>
      <c r="AI38" s="37">
        <v>76</v>
      </c>
      <c r="AJ38" s="122">
        <f>SUM(AD38:AI38)</f>
        <v>456</v>
      </c>
      <c r="AK38" s="49">
        <v>2027</v>
      </c>
      <c r="AL38" s="10"/>
    </row>
    <row r="39" spans="1:38" s="8" customFormat="1" ht="78" customHeight="1">
      <c r="A39" s="10"/>
      <c r="B39" s="185"/>
      <c r="C39" s="185"/>
      <c r="D39" s="185"/>
      <c r="E39" s="185"/>
      <c r="F39" s="185"/>
      <c r="G39" s="185"/>
      <c r="H39" s="185"/>
      <c r="I39" s="185"/>
      <c r="J39" s="185"/>
      <c r="K39" s="185"/>
      <c r="L39" s="185"/>
      <c r="M39" s="185"/>
      <c r="N39" s="185"/>
      <c r="O39" s="185"/>
      <c r="P39" s="37"/>
      <c r="Q39" s="37"/>
      <c r="R39" s="37"/>
      <c r="S39" s="37">
        <v>1</v>
      </c>
      <c r="T39" s="37">
        <v>2</v>
      </c>
      <c r="U39" s="37">
        <v>1</v>
      </c>
      <c r="V39" s="37">
        <v>0</v>
      </c>
      <c r="W39" s="37">
        <v>1</v>
      </c>
      <c r="X39" s="37">
        <v>0</v>
      </c>
      <c r="Y39" s="37">
        <v>0</v>
      </c>
      <c r="Z39" s="37">
        <v>0</v>
      </c>
      <c r="AA39" s="37">
        <v>7</v>
      </c>
      <c r="AB39" s="77" t="s">
        <v>138</v>
      </c>
      <c r="AC39" s="50" t="s">
        <v>94</v>
      </c>
      <c r="AD39" s="37">
        <v>88.3</v>
      </c>
      <c r="AE39" s="37">
        <v>88.3</v>
      </c>
      <c r="AF39" s="37">
        <v>88.3</v>
      </c>
      <c r="AG39" s="37">
        <v>88.3</v>
      </c>
      <c r="AH39" s="37">
        <v>88.3</v>
      </c>
      <c r="AI39" s="37">
        <v>88.3</v>
      </c>
      <c r="AJ39" s="58">
        <v>88.3</v>
      </c>
      <c r="AK39" s="49">
        <v>2027</v>
      </c>
      <c r="AL39" s="10"/>
    </row>
    <row r="40" spans="1:38" s="8" customFormat="1" ht="78" customHeight="1">
      <c r="A40" s="10"/>
      <c r="B40" s="185"/>
      <c r="C40" s="185"/>
      <c r="D40" s="185"/>
      <c r="E40" s="185"/>
      <c r="F40" s="185"/>
      <c r="G40" s="185"/>
      <c r="H40" s="185"/>
      <c r="I40" s="185"/>
      <c r="J40" s="185"/>
      <c r="K40" s="185"/>
      <c r="L40" s="185"/>
      <c r="M40" s="185"/>
      <c r="N40" s="185"/>
      <c r="O40" s="185"/>
      <c r="P40" s="37"/>
      <c r="Q40" s="37"/>
      <c r="R40" s="37"/>
      <c r="S40" s="37">
        <v>1</v>
      </c>
      <c r="T40" s="37">
        <v>2</v>
      </c>
      <c r="U40" s="37">
        <v>1</v>
      </c>
      <c r="V40" s="37">
        <v>0</v>
      </c>
      <c r="W40" s="37">
        <v>1</v>
      </c>
      <c r="X40" s="37">
        <v>0</v>
      </c>
      <c r="Y40" s="37">
        <v>0</v>
      </c>
      <c r="Z40" s="37">
        <v>0</v>
      </c>
      <c r="AA40" s="37">
        <v>8</v>
      </c>
      <c r="AB40" s="77" t="s">
        <v>228</v>
      </c>
      <c r="AC40" s="50" t="s">
        <v>94</v>
      </c>
      <c r="AD40" s="37">
        <v>100</v>
      </c>
      <c r="AE40" s="37">
        <v>100</v>
      </c>
      <c r="AF40" s="37">
        <v>100</v>
      </c>
      <c r="AG40" s="37">
        <v>100</v>
      </c>
      <c r="AH40" s="37">
        <v>100</v>
      </c>
      <c r="AI40" s="37">
        <v>100</v>
      </c>
      <c r="AJ40" s="58">
        <v>100</v>
      </c>
      <c r="AK40" s="49">
        <v>2027</v>
      </c>
      <c r="AL40" s="10"/>
    </row>
    <row r="41" spans="1:38" s="8" customFormat="1" ht="94.5" customHeight="1">
      <c r="A41" s="10"/>
      <c r="B41" s="185"/>
      <c r="C41" s="185"/>
      <c r="D41" s="185"/>
      <c r="E41" s="185"/>
      <c r="F41" s="185"/>
      <c r="G41" s="185"/>
      <c r="H41" s="185"/>
      <c r="I41" s="185"/>
      <c r="J41" s="185"/>
      <c r="K41" s="185"/>
      <c r="L41" s="185"/>
      <c r="M41" s="185"/>
      <c r="N41" s="185"/>
      <c r="O41" s="185"/>
      <c r="P41" s="185"/>
      <c r="Q41" s="185"/>
      <c r="R41" s="185"/>
      <c r="S41" s="185">
        <v>1</v>
      </c>
      <c r="T41" s="185">
        <v>2</v>
      </c>
      <c r="U41" s="185">
        <v>1</v>
      </c>
      <c r="V41" s="185">
        <v>0</v>
      </c>
      <c r="W41" s="185">
        <v>1</v>
      </c>
      <c r="X41" s="185">
        <v>0</v>
      </c>
      <c r="Y41" s="185">
        <v>1</v>
      </c>
      <c r="Z41" s="185">
        <v>0</v>
      </c>
      <c r="AA41" s="185">
        <v>0</v>
      </c>
      <c r="AB41" s="141" t="s">
        <v>219</v>
      </c>
      <c r="AC41" s="131"/>
      <c r="AD41" s="134"/>
      <c r="AE41" s="134"/>
      <c r="AF41" s="134"/>
      <c r="AG41" s="134"/>
      <c r="AH41" s="134"/>
      <c r="AI41" s="134"/>
      <c r="AJ41" s="139"/>
      <c r="AK41" s="134"/>
      <c r="AL41" s="10"/>
    </row>
    <row r="42" spans="1:38" s="8" customFormat="1" ht="46.5" customHeight="1">
      <c r="A42" s="10"/>
      <c r="B42" s="185"/>
      <c r="C42" s="185"/>
      <c r="D42" s="185"/>
      <c r="E42" s="185"/>
      <c r="F42" s="185"/>
      <c r="G42" s="185"/>
      <c r="H42" s="185"/>
      <c r="I42" s="185"/>
      <c r="J42" s="185"/>
      <c r="K42" s="185"/>
      <c r="L42" s="185"/>
      <c r="M42" s="185"/>
      <c r="N42" s="185"/>
      <c r="O42" s="185"/>
      <c r="P42" s="185"/>
      <c r="Q42" s="185"/>
      <c r="R42" s="185"/>
      <c r="S42" s="185">
        <v>1</v>
      </c>
      <c r="T42" s="185">
        <v>2</v>
      </c>
      <c r="U42" s="185">
        <v>1</v>
      </c>
      <c r="V42" s="185">
        <v>0</v>
      </c>
      <c r="W42" s="185">
        <v>1</v>
      </c>
      <c r="X42" s="185">
        <v>0</v>
      </c>
      <c r="Y42" s="185">
        <v>1</v>
      </c>
      <c r="Z42" s="185">
        <v>0</v>
      </c>
      <c r="AA42" s="185">
        <v>1</v>
      </c>
      <c r="AB42" s="77" t="s">
        <v>139</v>
      </c>
      <c r="AC42" s="50" t="s">
        <v>95</v>
      </c>
      <c r="AD42" s="90">
        <v>1</v>
      </c>
      <c r="AE42" s="90">
        <v>1</v>
      </c>
      <c r="AF42" s="90">
        <v>1</v>
      </c>
      <c r="AG42" s="90">
        <v>1</v>
      </c>
      <c r="AH42" s="90">
        <v>1</v>
      </c>
      <c r="AI42" s="90">
        <v>1</v>
      </c>
      <c r="AJ42" s="58">
        <f>SUM(AD42:AI42)</f>
        <v>6</v>
      </c>
      <c r="AK42" s="37">
        <v>2027</v>
      </c>
      <c r="AL42" s="10"/>
    </row>
    <row r="43" spans="1:38" s="8" customFormat="1" ht="126" customHeight="1">
      <c r="A43" s="10"/>
      <c r="B43" s="185">
        <v>0</v>
      </c>
      <c r="C43" s="185">
        <v>2</v>
      </c>
      <c r="D43" s="185">
        <v>9</v>
      </c>
      <c r="E43" s="185">
        <v>0</v>
      </c>
      <c r="F43" s="185">
        <v>7</v>
      </c>
      <c r="G43" s="185">
        <v>0</v>
      </c>
      <c r="H43" s="185">
        <v>2</v>
      </c>
      <c r="I43" s="185">
        <v>1</v>
      </c>
      <c r="J43" s="185">
        <v>2</v>
      </c>
      <c r="K43" s="185">
        <v>1</v>
      </c>
      <c r="L43" s="185">
        <v>0</v>
      </c>
      <c r="M43" s="185">
        <v>1</v>
      </c>
      <c r="N43" s="185">
        <v>1</v>
      </c>
      <c r="O43" s="185">
        <v>0</v>
      </c>
      <c r="P43" s="185">
        <v>7</v>
      </c>
      <c r="Q43" s="185">
        <v>5</v>
      </c>
      <c r="R43" s="185" t="s">
        <v>73</v>
      </c>
      <c r="S43" s="185">
        <v>1</v>
      </c>
      <c r="T43" s="185">
        <v>2</v>
      </c>
      <c r="U43" s="185">
        <v>1</v>
      </c>
      <c r="V43" s="185">
        <v>0</v>
      </c>
      <c r="W43" s="185">
        <v>1</v>
      </c>
      <c r="X43" s="185">
        <v>0</v>
      </c>
      <c r="Y43" s="185">
        <v>2</v>
      </c>
      <c r="Z43" s="185">
        <v>0</v>
      </c>
      <c r="AA43" s="185">
        <v>0</v>
      </c>
      <c r="AB43" s="239" t="s">
        <v>223</v>
      </c>
      <c r="AC43" s="131" t="s">
        <v>96</v>
      </c>
      <c r="AD43" s="132">
        <f>115385600-175400+12742600</f>
        <v>127952800</v>
      </c>
      <c r="AE43" s="132">
        <v>127627900</v>
      </c>
      <c r="AF43" s="132">
        <f>127627900+20493600</f>
        <v>148121500</v>
      </c>
      <c r="AG43" s="132">
        <f>127627900+20525500</f>
        <v>148153400</v>
      </c>
      <c r="AH43" s="132">
        <f>116215600-1005100+32942900</f>
        <v>148153400</v>
      </c>
      <c r="AI43" s="132">
        <f>116215600-1005100</f>
        <v>115210500</v>
      </c>
      <c r="AJ43" s="133">
        <f>SUM(AD43:AI43)</f>
        <v>815219500</v>
      </c>
      <c r="AK43" s="134">
        <v>2027</v>
      </c>
      <c r="AL43" s="10"/>
    </row>
    <row r="44" spans="1:38" s="8" customFormat="1" ht="41.25" customHeight="1" hidden="1">
      <c r="A44" s="10"/>
      <c r="B44" s="185">
        <v>0</v>
      </c>
      <c r="C44" s="185">
        <v>2</v>
      </c>
      <c r="D44" s="185">
        <v>9</v>
      </c>
      <c r="E44" s="185">
        <v>0</v>
      </c>
      <c r="F44" s="185">
        <v>7</v>
      </c>
      <c r="G44" s="185">
        <v>0</v>
      </c>
      <c r="H44" s="185">
        <v>2</v>
      </c>
      <c r="I44" s="185">
        <v>1</v>
      </c>
      <c r="J44" s="185">
        <v>2</v>
      </c>
      <c r="K44" s="185">
        <v>1</v>
      </c>
      <c r="L44" s="185"/>
      <c r="M44" s="185"/>
      <c r="N44" s="186">
        <v>7</v>
      </c>
      <c r="O44" s="186">
        <v>6</v>
      </c>
      <c r="P44" s="186">
        <v>0</v>
      </c>
      <c r="Q44" s="186">
        <v>2</v>
      </c>
      <c r="R44" s="185"/>
      <c r="S44" s="185">
        <v>1</v>
      </c>
      <c r="T44" s="185">
        <v>2</v>
      </c>
      <c r="U44" s="185">
        <v>1</v>
      </c>
      <c r="V44" s="185">
        <v>0</v>
      </c>
      <c r="W44" s="185">
        <v>1</v>
      </c>
      <c r="X44" s="185">
        <v>0</v>
      </c>
      <c r="Y44" s="185">
        <v>2</v>
      </c>
      <c r="Z44" s="185">
        <v>0</v>
      </c>
      <c r="AA44" s="185">
        <v>0</v>
      </c>
      <c r="AB44" s="239"/>
      <c r="AC44" s="131" t="s">
        <v>96</v>
      </c>
      <c r="AD44" s="135"/>
      <c r="AE44" s="135"/>
      <c r="AF44" s="135"/>
      <c r="AG44" s="135"/>
      <c r="AH44" s="135"/>
      <c r="AI44" s="135"/>
      <c r="AJ44" s="133"/>
      <c r="AK44" s="136"/>
      <c r="AL44" s="10"/>
    </row>
    <row r="45" spans="1:38" s="8" customFormat="1" ht="45" customHeight="1" hidden="1">
      <c r="A45" s="10"/>
      <c r="B45" s="185">
        <v>0</v>
      </c>
      <c r="C45" s="185">
        <v>2</v>
      </c>
      <c r="D45" s="185">
        <v>9</v>
      </c>
      <c r="E45" s="185">
        <v>0</v>
      </c>
      <c r="F45" s="185">
        <v>7</v>
      </c>
      <c r="G45" s="185">
        <v>0</v>
      </c>
      <c r="H45" s="185">
        <v>2</v>
      </c>
      <c r="I45" s="185">
        <v>1</v>
      </c>
      <c r="J45" s="185">
        <v>2</v>
      </c>
      <c r="K45" s="185">
        <v>1</v>
      </c>
      <c r="L45" s="185"/>
      <c r="M45" s="185"/>
      <c r="N45" s="185">
        <v>2</v>
      </c>
      <c r="O45" s="185">
        <v>0</v>
      </c>
      <c r="P45" s="185">
        <v>0</v>
      </c>
      <c r="Q45" s="185">
        <v>8</v>
      </c>
      <c r="R45" s="185"/>
      <c r="S45" s="185">
        <v>1</v>
      </c>
      <c r="T45" s="185">
        <v>2</v>
      </c>
      <c r="U45" s="185">
        <v>1</v>
      </c>
      <c r="V45" s="185">
        <v>0</v>
      </c>
      <c r="W45" s="185">
        <v>1</v>
      </c>
      <c r="X45" s="185">
        <v>0</v>
      </c>
      <c r="Y45" s="185">
        <v>2</v>
      </c>
      <c r="Z45" s="185">
        <v>0</v>
      </c>
      <c r="AA45" s="185">
        <v>0</v>
      </c>
      <c r="AB45" s="251" t="s">
        <v>72</v>
      </c>
      <c r="AC45" s="131" t="s">
        <v>96</v>
      </c>
      <c r="AD45" s="135"/>
      <c r="AE45" s="135"/>
      <c r="AF45" s="135"/>
      <c r="AG45" s="135"/>
      <c r="AH45" s="135"/>
      <c r="AI45" s="135"/>
      <c r="AJ45" s="133"/>
      <c r="AK45" s="136"/>
      <c r="AL45" s="10"/>
    </row>
    <row r="46" spans="1:38" s="8" customFormat="1" ht="109.5" customHeight="1">
      <c r="A46" s="10"/>
      <c r="B46" s="185">
        <v>0</v>
      </c>
      <c r="C46" s="185">
        <v>2</v>
      </c>
      <c r="D46" s="185">
        <v>9</v>
      </c>
      <c r="E46" s="185">
        <v>0</v>
      </c>
      <c r="F46" s="185">
        <v>7</v>
      </c>
      <c r="G46" s="185">
        <v>0</v>
      </c>
      <c r="H46" s="185">
        <v>2</v>
      </c>
      <c r="I46" s="185">
        <v>1</v>
      </c>
      <c r="J46" s="185">
        <v>2</v>
      </c>
      <c r="K46" s="185">
        <v>1</v>
      </c>
      <c r="L46" s="185">
        <v>0</v>
      </c>
      <c r="M46" s="185">
        <v>1</v>
      </c>
      <c r="N46" s="185">
        <v>2</v>
      </c>
      <c r="O46" s="185">
        <v>0</v>
      </c>
      <c r="P46" s="185">
        <v>0</v>
      </c>
      <c r="Q46" s="185">
        <v>2</v>
      </c>
      <c r="R46" s="185" t="s">
        <v>73</v>
      </c>
      <c r="S46" s="185">
        <v>1</v>
      </c>
      <c r="T46" s="185">
        <v>2</v>
      </c>
      <c r="U46" s="185">
        <v>1</v>
      </c>
      <c r="V46" s="185">
        <v>0</v>
      </c>
      <c r="W46" s="185">
        <v>1</v>
      </c>
      <c r="X46" s="185">
        <v>0</v>
      </c>
      <c r="Y46" s="185">
        <v>2</v>
      </c>
      <c r="Z46" s="185">
        <v>0</v>
      </c>
      <c r="AA46" s="185">
        <v>0</v>
      </c>
      <c r="AB46" s="251"/>
      <c r="AC46" s="131" t="s">
        <v>96</v>
      </c>
      <c r="AD46" s="137">
        <f>28323340.6+937380.05+514244.73-195565.04+195565.04+1026501.4+15000</f>
        <v>30816466.78</v>
      </c>
      <c r="AE46" s="137">
        <f>33101791.75-6172.33+352405.5+107912.73+1130316.74+119600</f>
        <v>34805854.39</v>
      </c>
      <c r="AF46" s="137">
        <f>31961184.75-558318-1674982+5102774.11</f>
        <v>34830658.86</v>
      </c>
      <c r="AG46" s="137">
        <f>27773519.52+8136257.34</f>
        <v>35909776.86</v>
      </c>
      <c r="AH46" s="137">
        <f>25742891.24+6166885.62</f>
        <v>31909776.86</v>
      </c>
      <c r="AI46" s="137">
        <v>25742891.24</v>
      </c>
      <c r="AJ46" s="138">
        <f>SUM(AD46:AI46)</f>
        <v>194015424.99</v>
      </c>
      <c r="AK46" s="136">
        <v>2027</v>
      </c>
      <c r="AL46" s="10"/>
    </row>
    <row r="47" spans="1:38" s="8" customFormat="1" ht="61.5" customHeight="1">
      <c r="A47" s="10"/>
      <c r="B47" s="185"/>
      <c r="C47" s="185"/>
      <c r="D47" s="185"/>
      <c r="E47" s="185"/>
      <c r="F47" s="185"/>
      <c r="G47" s="185"/>
      <c r="H47" s="185"/>
      <c r="I47" s="185"/>
      <c r="J47" s="185"/>
      <c r="K47" s="185"/>
      <c r="L47" s="185"/>
      <c r="M47" s="185"/>
      <c r="N47" s="185"/>
      <c r="O47" s="185"/>
      <c r="P47" s="185"/>
      <c r="Q47" s="185"/>
      <c r="R47" s="185"/>
      <c r="S47" s="185">
        <v>1</v>
      </c>
      <c r="T47" s="185">
        <v>2</v>
      </c>
      <c r="U47" s="185">
        <v>1</v>
      </c>
      <c r="V47" s="185">
        <v>0</v>
      </c>
      <c r="W47" s="185">
        <v>1</v>
      </c>
      <c r="X47" s="185">
        <v>0</v>
      </c>
      <c r="Y47" s="185">
        <v>2</v>
      </c>
      <c r="Z47" s="185">
        <v>0</v>
      </c>
      <c r="AA47" s="185">
        <v>1</v>
      </c>
      <c r="AB47" s="79" t="s">
        <v>140</v>
      </c>
      <c r="AC47" s="50" t="s">
        <v>107</v>
      </c>
      <c r="AD47" s="37">
        <v>2261</v>
      </c>
      <c r="AE47" s="37">
        <v>2261</v>
      </c>
      <c r="AF47" s="97">
        <v>2261</v>
      </c>
      <c r="AG47" s="97">
        <v>2261</v>
      </c>
      <c r="AH47" s="97">
        <v>2261</v>
      </c>
      <c r="AI47" s="97">
        <v>2261</v>
      </c>
      <c r="AJ47" s="122">
        <f>SUM(AD47:AI47)</f>
        <v>13566</v>
      </c>
      <c r="AK47" s="49">
        <v>2027</v>
      </c>
      <c r="AL47" s="10"/>
    </row>
    <row r="48" spans="1:38" s="8" customFormat="1" ht="63" customHeight="1">
      <c r="A48" s="10"/>
      <c r="B48" s="185"/>
      <c r="C48" s="185"/>
      <c r="D48" s="185"/>
      <c r="E48" s="185"/>
      <c r="F48" s="185"/>
      <c r="G48" s="185"/>
      <c r="H48" s="185"/>
      <c r="I48" s="185"/>
      <c r="J48" s="185"/>
      <c r="K48" s="185"/>
      <c r="L48" s="185"/>
      <c r="M48" s="185"/>
      <c r="N48" s="185"/>
      <c r="O48" s="185"/>
      <c r="P48" s="185"/>
      <c r="Q48" s="185"/>
      <c r="R48" s="185"/>
      <c r="S48" s="185">
        <v>1</v>
      </c>
      <c r="T48" s="185">
        <v>2</v>
      </c>
      <c r="U48" s="185">
        <v>1</v>
      </c>
      <c r="V48" s="185">
        <v>0</v>
      </c>
      <c r="W48" s="185">
        <v>1</v>
      </c>
      <c r="X48" s="185">
        <v>0</v>
      </c>
      <c r="Y48" s="185">
        <v>2</v>
      </c>
      <c r="Z48" s="185">
        <v>0</v>
      </c>
      <c r="AA48" s="185">
        <v>2</v>
      </c>
      <c r="AB48" s="79" t="s">
        <v>141</v>
      </c>
      <c r="AC48" s="50" t="s">
        <v>96</v>
      </c>
      <c r="AD48" s="93">
        <f>(AD43+AD46)/AD47</f>
        <v>70220.81679787705</v>
      </c>
      <c r="AE48" s="93">
        <f aca="true" t="shared" si="1" ref="AE48:AJ48">(AE43+AE46)/AE47</f>
        <v>71841.5543520566</v>
      </c>
      <c r="AF48" s="93">
        <f t="shared" si="1"/>
        <v>80916.47892967713</v>
      </c>
      <c r="AG48" s="93">
        <f t="shared" si="1"/>
        <v>81407.86238832376</v>
      </c>
      <c r="AH48" s="93">
        <f t="shared" si="1"/>
        <v>79638.73368421053</v>
      </c>
      <c r="AI48" s="93">
        <f t="shared" si="1"/>
        <v>62341.172596196375</v>
      </c>
      <c r="AJ48" s="93">
        <f t="shared" si="1"/>
        <v>74394.43645805691</v>
      </c>
      <c r="AK48" s="49">
        <v>2027</v>
      </c>
      <c r="AL48" s="10"/>
    </row>
    <row r="49" spans="1:38" s="8" customFormat="1" ht="67.5" customHeight="1" hidden="1">
      <c r="A49" s="10"/>
      <c r="B49" s="185">
        <v>0</v>
      </c>
      <c r="C49" s="185">
        <v>2</v>
      </c>
      <c r="D49" s="185">
        <v>9</v>
      </c>
      <c r="E49" s="185">
        <v>0</v>
      </c>
      <c r="F49" s="185">
        <v>7</v>
      </c>
      <c r="G49" s="185">
        <v>0</v>
      </c>
      <c r="H49" s="185">
        <v>2</v>
      </c>
      <c r="I49" s="185">
        <v>1</v>
      </c>
      <c r="J49" s="185">
        <v>2</v>
      </c>
      <c r="K49" s="185">
        <v>1</v>
      </c>
      <c r="L49" s="185"/>
      <c r="M49" s="185"/>
      <c r="N49" s="185">
        <v>2</v>
      </c>
      <c r="O49" s="185">
        <v>0</v>
      </c>
      <c r="P49" s="185">
        <v>0</v>
      </c>
      <c r="Q49" s="185">
        <v>9</v>
      </c>
      <c r="R49" s="185"/>
      <c r="S49" s="185">
        <v>1</v>
      </c>
      <c r="T49" s="185">
        <v>2</v>
      </c>
      <c r="U49" s="185">
        <v>1</v>
      </c>
      <c r="V49" s="185">
        <v>0</v>
      </c>
      <c r="W49" s="185">
        <v>1</v>
      </c>
      <c r="X49" s="185">
        <v>0</v>
      </c>
      <c r="Y49" s="185">
        <v>3</v>
      </c>
      <c r="Z49" s="185">
        <v>0</v>
      </c>
      <c r="AA49" s="185">
        <v>0</v>
      </c>
      <c r="AB49" s="235" t="s">
        <v>142</v>
      </c>
      <c r="AC49" s="131" t="s">
        <v>96</v>
      </c>
      <c r="AD49" s="134"/>
      <c r="AE49" s="134"/>
      <c r="AF49" s="134"/>
      <c r="AG49" s="134"/>
      <c r="AH49" s="134"/>
      <c r="AI49" s="134"/>
      <c r="AJ49" s="139"/>
      <c r="AK49" s="136"/>
      <c r="AL49" s="10"/>
    </row>
    <row r="50" spans="1:38" s="8" customFormat="1" ht="93" customHeight="1">
      <c r="A50" s="10"/>
      <c r="B50" s="185">
        <v>0</v>
      </c>
      <c r="C50" s="185">
        <v>2</v>
      </c>
      <c r="D50" s="185">
        <v>9</v>
      </c>
      <c r="E50" s="185">
        <v>0</v>
      </c>
      <c r="F50" s="185">
        <v>7</v>
      </c>
      <c r="G50" s="185">
        <v>0</v>
      </c>
      <c r="H50" s="185">
        <v>3</v>
      </c>
      <c r="I50" s="185">
        <v>1</v>
      </c>
      <c r="J50" s="185">
        <v>2</v>
      </c>
      <c r="K50" s="185">
        <v>1</v>
      </c>
      <c r="L50" s="185">
        <v>0</v>
      </c>
      <c r="M50" s="185">
        <v>1</v>
      </c>
      <c r="N50" s="185">
        <v>2</v>
      </c>
      <c r="O50" s="185">
        <v>0</v>
      </c>
      <c r="P50" s="185">
        <v>0</v>
      </c>
      <c r="Q50" s="185">
        <v>3</v>
      </c>
      <c r="R50" s="185" t="s">
        <v>73</v>
      </c>
      <c r="S50" s="185">
        <v>1</v>
      </c>
      <c r="T50" s="185">
        <v>2</v>
      </c>
      <c r="U50" s="185">
        <v>1</v>
      </c>
      <c r="V50" s="185">
        <v>0</v>
      </c>
      <c r="W50" s="185">
        <v>1</v>
      </c>
      <c r="X50" s="185">
        <v>0</v>
      </c>
      <c r="Y50" s="185">
        <v>3</v>
      </c>
      <c r="Z50" s="185">
        <v>0</v>
      </c>
      <c r="AA50" s="185">
        <v>0</v>
      </c>
      <c r="AB50" s="236"/>
      <c r="AC50" s="131" t="s">
        <v>96</v>
      </c>
      <c r="AD50" s="137">
        <f>25379890.14+365678.22-682251.23</f>
        <v>25063317.13</v>
      </c>
      <c r="AE50" s="137">
        <f>26371879.68-253588.52-87000</f>
        <v>26031291.16</v>
      </c>
      <c r="AF50" s="137">
        <f>26700689.48+829450.71</f>
        <v>27530140.19</v>
      </c>
      <c r="AG50" s="137">
        <f>22440828.34+4590097.12</f>
        <v>27030925.46</v>
      </c>
      <c r="AH50" s="137">
        <f>16413597.76+10117327.7</f>
        <v>26530925.46</v>
      </c>
      <c r="AI50" s="137">
        <v>16413597.76</v>
      </c>
      <c r="AJ50" s="138">
        <f>SUM(AD50:AI50)</f>
        <v>148600197.16</v>
      </c>
      <c r="AK50" s="136">
        <v>2027</v>
      </c>
      <c r="AL50" s="10"/>
    </row>
    <row r="51" spans="1:38" s="8" customFormat="1" ht="70.5" customHeight="1">
      <c r="A51" s="10"/>
      <c r="B51" s="185">
        <v>0</v>
      </c>
      <c r="C51" s="185">
        <v>2</v>
      </c>
      <c r="D51" s="185">
        <v>9</v>
      </c>
      <c r="E51" s="185">
        <v>0</v>
      </c>
      <c r="F51" s="185">
        <v>7</v>
      </c>
      <c r="G51" s="185">
        <v>0</v>
      </c>
      <c r="H51" s="185">
        <v>3</v>
      </c>
      <c r="I51" s="185">
        <v>1</v>
      </c>
      <c r="J51" s="185">
        <v>2</v>
      </c>
      <c r="K51" s="185">
        <v>1</v>
      </c>
      <c r="L51" s="185">
        <v>0</v>
      </c>
      <c r="M51" s="185">
        <v>1</v>
      </c>
      <c r="N51" s="185">
        <v>1</v>
      </c>
      <c r="O51" s="185">
        <v>0</v>
      </c>
      <c r="P51" s="185">
        <v>6</v>
      </c>
      <c r="Q51" s="185">
        <v>9</v>
      </c>
      <c r="R51" s="185" t="s">
        <v>73</v>
      </c>
      <c r="S51" s="185">
        <v>1</v>
      </c>
      <c r="T51" s="185">
        <v>2</v>
      </c>
      <c r="U51" s="185">
        <v>1</v>
      </c>
      <c r="V51" s="185">
        <v>0</v>
      </c>
      <c r="W51" s="185">
        <v>1</v>
      </c>
      <c r="X51" s="185">
        <v>0</v>
      </c>
      <c r="Y51" s="185">
        <v>3</v>
      </c>
      <c r="Z51" s="185">
        <v>0</v>
      </c>
      <c r="AA51" s="185">
        <v>0</v>
      </c>
      <c r="AB51" s="140" t="s">
        <v>190</v>
      </c>
      <c r="AC51" s="131" t="s">
        <v>96</v>
      </c>
      <c r="AD51" s="137">
        <f>5335111.82+1691236.27</f>
        <v>7026348.09</v>
      </c>
      <c r="AE51" s="137">
        <v>7225160.4</v>
      </c>
      <c r="AF51" s="137">
        <f>7225160.4+2578423.75</f>
        <v>9803584.15</v>
      </c>
      <c r="AG51" s="137">
        <f>7225160.4+2578423.75</f>
        <v>9803584.15</v>
      </c>
      <c r="AH51" s="137">
        <f>5335111.82+4468472.33</f>
        <v>9803584.15</v>
      </c>
      <c r="AI51" s="137">
        <v>5335111.82</v>
      </c>
      <c r="AJ51" s="138">
        <f>SUM(AD51:AI51)</f>
        <v>48997372.76</v>
      </c>
      <c r="AK51" s="136">
        <v>2027</v>
      </c>
      <c r="AL51" s="10"/>
    </row>
    <row r="52" spans="1:38" s="8" customFormat="1" ht="68.25" customHeight="1">
      <c r="A52" s="10"/>
      <c r="B52" s="185">
        <v>0</v>
      </c>
      <c r="C52" s="185">
        <v>2</v>
      </c>
      <c r="D52" s="185">
        <v>9</v>
      </c>
      <c r="E52" s="185">
        <v>0</v>
      </c>
      <c r="F52" s="185">
        <v>7</v>
      </c>
      <c r="G52" s="185">
        <v>0</v>
      </c>
      <c r="H52" s="185">
        <v>3</v>
      </c>
      <c r="I52" s="185">
        <v>1</v>
      </c>
      <c r="J52" s="185">
        <v>2</v>
      </c>
      <c r="K52" s="185">
        <v>1</v>
      </c>
      <c r="L52" s="185">
        <v>0</v>
      </c>
      <c r="M52" s="185">
        <v>1</v>
      </c>
      <c r="N52" s="185" t="s">
        <v>75</v>
      </c>
      <c r="O52" s="185">
        <v>0</v>
      </c>
      <c r="P52" s="185">
        <v>6</v>
      </c>
      <c r="Q52" s="185">
        <v>9</v>
      </c>
      <c r="R52" s="185" t="s">
        <v>73</v>
      </c>
      <c r="S52" s="185">
        <v>1</v>
      </c>
      <c r="T52" s="185">
        <v>2</v>
      </c>
      <c r="U52" s="185">
        <v>1</v>
      </c>
      <c r="V52" s="185">
        <v>0</v>
      </c>
      <c r="W52" s="185">
        <v>1</v>
      </c>
      <c r="X52" s="185">
        <v>0</v>
      </c>
      <c r="Y52" s="185">
        <v>3</v>
      </c>
      <c r="Z52" s="185">
        <v>0</v>
      </c>
      <c r="AA52" s="185">
        <v>0</v>
      </c>
      <c r="AB52" s="141" t="s">
        <v>202</v>
      </c>
      <c r="AC52" s="131" t="s">
        <v>96</v>
      </c>
      <c r="AD52" s="137">
        <f>53890.02+17083.19</f>
        <v>70973.20999999999</v>
      </c>
      <c r="AE52" s="137">
        <v>72979.42</v>
      </c>
      <c r="AF52" s="137">
        <f>72979.42+26020.58</f>
        <v>99000</v>
      </c>
      <c r="AG52" s="137">
        <f>72979.42+26020.58</f>
        <v>99000</v>
      </c>
      <c r="AH52" s="137">
        <f>53890.02+45109.98</f>
        <v>99000</v>
      </c>
      <c r="AI52" s="137">
        <v>53890.02</v>
      </c>
      <c r="AJ52" s="138">
        <f>SUM(AD52:AI52)</f>
        <v>494842.65</v>
      </c>
      <c r="AK52" s="136">
        <v>2027</v>
      </c>
      <c r="AL52" s="10"/>
    </row>
    <row r="53" spans="1:38" s="8" customFormat="1" ht="75" customHeight="1">
      <c r="A53" s="10"/>
      <c r="B53" s="185"/>
      <c r="C53" s="185"/>
      <c r="D53" s="185"/>
      <c r="E53" s="185"/>
      <c r="F53" s="185"/>
      <c r="G53" s="185"/>
      <c r="H53" s="185"/>
      <c r="I53" s="185"/>
      <c r="J53" s="185"/>
      <c r="K53" s="185"/>
      <c r="L53" s="185"/>
      <c r="M53" s="185"/>
      <c r="N53" s="185"/>
      <c r="O53" s="185"/>
      <c r="P53" s="185"/>
      <c r="Q53" s="185"/>
      <c r="R53" s="185"/>
      <c r="S53" s="185">
        <v>1</v>
      </c>
      <c r="T53" s="185">
        <v>2</v>
      </c>
      <c r="U53" s="185">
        <v>1</v>
      </c>
      <c r="V53" s="185">
        <v>0</v>
      </c>
      <c r="W53" s="185">
        <v>1</v>
      </c>
      <c r="X53" s="185">
        <v>0</v>
      </c>
      <c r="Y53" s="185">
        <v>3</v>
      </c>
      <c r="Z53" s="185">
        <v>0</v>
      </c>
      <c r="AA53" s="185">
        <v>1</v>
      </c>
      <c r="AB53" s="80" t="s">
        <v>143</v>
      </c>
      <c r="AC53" s="52" t="s">
        <v>107</v>
      </c>
      <c r="AD53" s="97">
        <v>1103</v>
      </c>
      <c r="AE53" s="97">
        <v>1103</v>
      </c>
      <c r="AF53" s="97">
        <v>1103</v>
      </c>
      <c r="AG53" s="97">
        <v>1103</v>
      </c>
      <c r="AH53" s="97">
        <v>1103</v>
      </c>
      <c r="AI53" s="97">
        <v>1103</v>
      </c>
      <c r="AJ53" s="97">
        <f>SUM(AD53:AI53)</f>
        <v>6618</v>
      </c>
      <c r="AK53" s="87">
        <v>2027</v>
      </c>
      <c r="AL53" s="10"/>
    </row>
    <row r="54" spans="1:38" s="8" customFormat="1" ht="76.5" customHeight="1">
      <c r="A54" s="10"/>
      <c r="B54" s="185"/>
      <c r="C54" s="185"/>
      <c r="D54" s="185"/>
      <c r="E54" s="185"/>
      <c r="F54" s="185"/>
      <c r="G54" s="185"/>
      <c r="H54" s="185"/>
      <c r="I54" s="185"/>
      <c r="J54" s="185"/>
      <c r="K54" s="185"/>
      <c r="L54" s="185"/>
      <c r="M54" s="185"/>
      <c r="N54" s="186"/>
      <c r="O54" s="186"/>
      <c r="P54" s="185"/>
      <c r="Q54" s="185"/>
      <c r="R54" s="185"/>
      <c r="S54" s="185">
        <v>1</v>
      </c>
      <c r="T54" s="185">
        <v>2</v>
      </c>
      <c r="U54" s="185">
        <v>1</v>
      </c>
      <c r="V54" s="185">
        <v>0</v>
      </c>
      <c r="W54" s="185">
        <v>1</v>
      </c>
      <c r="X54" s="185">
        <v>0</v>
      </c>
      <c r="Y54" s="185">
        <v>3</v>
      </c>
      <c r="Z54" s="185">
        <v>0</v>
      </c>
      <c r="AA54" s="185">
        <v>2</v>
      </c>
      <c r="AB54" s="66" t="s">
        <v>144</v>
      </c>
      <c r="AC54" s="50" t="s">
        <v>96</v>
      </c>
      <c r="AD54" s="93">
        <f aca="true" t="shared" si="2" ref="AD54:AJ54">(AD50+AD51+AD52)/AD53</f>
        <v>29157.42378059837</v>
      </c>
      <c r="AE54" s="93">
        <f t="shared" si="2"/>
        <v>30217.07251133273</v>
      </c>
      <c r="AF54" s="93">
        <f t="shared" si="2"/>
        <v>33937.19341795104</v>
      </c>
      <c r="AG54" s="93">
        <f t="shared" si="2"/>
        <v>33484.59620126926</v>
      </c>
      <c r="AH54" s="93">
        <f t="shared" si="2"/>
        <v>33031.287044424294</v>
      </c>
      <c r="AI54" s="93">
        <f t="shared" si="2"/>
        <v>19766.636083408885</v>
      </c>
      <c r="AJ54" s="93">
        <f t="shared" si="2"/>
        <v>29932.368173164097</v>
      </c>
      <c r="AK54" s="49">
        <v>2027</v>
      </c>
      <c r="AL54" s="10"/>
    </row>
    <row r="55" spans="1:38" s="8" customFormat="1" ht="73.5" customHeight="1" hidden="1">
      <c r="A55" s="10"/>
      <c r="B55" s="185">
        <v>0</v>
      </c>
      <c r="C55" s="185">
        <v>2</v>
      </c>
      <c r="D55" s="185">
        <v>9</v>
      </c>
      <c r="E55" s="185">
        <v>0</v>
      </c>
      <c r="F55" s="185">
        <v>7</v>
      </c>
      <c r="G55" s="185">
        <v>0</v>
      </c>
      <c r="H55" s="185">
        <v>2</v>
      </c>
      <c r="I55" s="185">
        <v>1</v>
      </c>
      <c r="J55" s="185">
        <v>2</v>
      </c>
      <c r="K55" s="185">
        <v>1</v>
      </c>
      <c r="L55" s="185"/>
      <c r="M55" s="185"/>
      <c r="N55" s="185">
        <v>2</v>
      </c>
      <c r="O55" s="185">
        <v>0</v>
      </c>
      <c r="P55" s="186">
        <v>4</v>
      </c>
      <c r="Q55" s="186">
        <v>3</v>
      </c>
      <c r="R55" s="186"/>
      <c r="S55" s="186">
        <v>1</v>
      </c>
      <c r="T55" s="186">
        <v>2</v>
      </c>
      <c r="U55" s="186">
        <v>1</v>
      </c>
      <c r="V55" s="186">
        <v>0</v>
      </c>
      <c r="W55" s="186">
        <v>1</v>
      </c>
      <c r="X55" s="186">
        <v>0</v>
      </c>
      <c r="Y55" s="186">
        <v>5</v>
      </c>
      <c r="Z55" s="186">
        <v>0</v>
      </c>
      <c r="AA55" s="186">
        <v>0</v>
      </c>
      <c r="AB55" s="240" t="s">
        <v>188</v>
      </c>
      <c r="AC55" s="72" t="s">
        <v>96</v>
      </c>
      <c r="AD55" s="89"/>
      <c r="AE55" s="94"/>
      <c r="AF55" s="89"/>
      <c r="AG55" s="89"/>
      <c r="AH55" s="89"/>
      <c r="AI55" s="89"/>
      <c r="AJ55" s="74"/>
      <c r="AK55" s="89"/>
      <c r="AL55" s="10"/>
    </row>
    <row r="56" spans="1:38" s="8" customFormat="1" ht="37.5" customHeight="1" hidden="1">
      <c r="A56" s="10"/>
      <c r="B56" s="185">
        <v>0</v>
      </c>
      <c r="C56" s="185">
        <v>2</v>
      </c>
      <c r="D56" s="185">
        <v>9</v>
      </c>
      <c r="E56" s="185">
        <v>0</v>
      </c>
      <c r="F56" s="185">
        <v>7</v>
      </c>
      <c r="G56" s="185">
        <v>0</v>
      </c>
      <c r="H56" s="185">
        <v>2</v>
      </c>
      <c r="I56" s="185">
        <v>1</v>
      </c>
      <c r="J56" s="185">
        <v>2</v>
      </c>
      <c r="K56" s="185">
        <v>1</v>
      </c>
      <c r="L56" s="185">
        <v>0</v>
      </c>
      <c r="M56" s="185">
        <v>1</v>
      </c>
      <c r="N56" s="185">
        <v>2</v>
      </c>
      <c r="O56" s="185">
        <v>0</v>
      </c>
      <c r="P56" s="186">
        <v>1</v>
      </c>
      <c r="Q56" s="186">
        <v>3</v>
      </c>
      <c r="R56" s="186" t="s">
        <v>74</v>
      </c>
      <c r="S56" s="186">
        <v>1</v>
      </c>
      <c r="T56" s="186">
        <v>2</v>
      </c>
      <c r="U56" s="186">
        <v>1</v>
      </c>
      <c r="V56" s="186">
        <v>0</v>
      </c>
      <c r="W56" s="186">
        <v>1</v>
      </c>
      <c r="X56" s="186">
        <v>0</v>
      </c>
      <c r="Y56" s="186">
        <v>5</v>
      </c>
      <c r="Z56" s="186">
        <v>0</v>
      </c>
      <c r="AA56" s="186">
        <v>0</v>
      </c>
      <c r="AB56" s="241"/>
      <c r="AC56" s="72" t="s">
        <v>96</v>
      </c>
      <c r="AD56" s="89"/>
      <c r="AE56" s="94"/>
      <c r="AF56" s="89"/>
      <c r="AG56" s="89"/>
      <c r="AH56" s="89"/>
      <c r="AI56" s="89"/>
      <c r="AJ56" s="74"/>
      <c r="AK56" s="89"/>
      <c r="AL56" s="10"/>
    </row>
    <row r="57" spans="1:38" s="8" customFormat="1" ht="125.25" customHeight="1" hidden="1">
      <c r="A57" s="10"/>
      <c r="B57" s="185"/>
      <c r="C57" s="185"/>
      <c r="D57" s="185"/>
      <c r="E57" s="185"/>
      <c r="F57" s="185"/>
      <c r="G57" s="185"/>
      <c r="H57" s="185"/>
      <c r="I57" s="185"/>
      <c r="J57" s="185"/>
      <c r="K57" s="185"/>
      <c r="L57" s="185"/>
      <c r="M57" s="185"/>
      <c r="N57" s="185"/>
      <c r="O57" s="185"/>
      <c r="P57" s="186"/>
      <c r="Q57" s="186"/>
      <c r="R57" s="186"/>
      <c r="S57" s="186">
        <v>1</v>
      </c>
      <c r="T57" s="186">
        <v>2</v>
      </c>
      <c r="U57" s="186">
        <v>1</v>
      </c>
      <c r="V57" s="186">
        <v>0</v>
      </c>
      <c r="W57" s="186">
        <v>1</v>
      </c>
      <c r="X57" s="186">
        <v>0</v>
      </c>
      <c r="Y57" s="186">
        <v>5</v>
      </c>
      <c r="Z57" s="186">
        <v>0</v>
      </c>
      <c r="AA57" s="186">
        <v>1</v>
      </c>
      <c r="AB57" s="66" t="s">
        <v>189</v>
      </c>
      <c r="AC57" s="50" t="s">
        <v>95</v>
      </c>
      <c r="AD57" s="37"/>
      <c r="AE57" s="95"/>
      <c r="AF57" s="37"/>
      <c r="AG57" s="37"/>
      <c r="AH57" s="37"/>
      <c r="AI57" s="37"/>
      <c r="AJ57" s="58"/>
      <c r="AK57" s="37"/>
      <c r="AL57" s="10"/>
    </row>
    <row r="58" spans="1:38" s="8" customFormat="1" ht="69" customHeight="1">
      <c r="A58" s="10"/>
      <c r="B58" s="186">
        <v>0</v>
      </c>
      <c r="C58" s="186">
        <v>2</v>
      </c>
      <c r="D58" s="186">
        <v>9</v>
      </c>
      <c r="E58" s="186">
        <v>0</v>
      </c>
      <c r="F58" s="186">
        <v>7</v>
      </c>
      <c r="G58" s="186">
        <v>0</v>
      </c>
      <c r="H58" s="186">
        <v>2</v>
      </c>
      <c r="I58" s="186">
        <v>1</v>
      </c>
      <c r="J58" s="186">
        <v>2</v>
      </c>
      <c r="K58" s="186">
        <v>1</v>
      </c>
      <c r="L58" s="186">
        <v>0</v>
      </c>
      <c r="M58" s="186">
        <v>1</v>
      </c>
      <c r="N58" s="186">
        <v>5</v>
      </c>
      <c r="O58" s="186">
        <v>3</v>
      </c>
      <c r="P58" s="186">
        <v>0</v>
      </c>
      <c r="Q58" s="186">
        <v>3</v>
      </c>
      <c r="R58" s="186">
        <v>1</v>
      </c>
      <c r="S58" s="186">
        <v>1</v>
      </c>
      <c r="T58" s="186">
        <v>2</v>
      </c>
      <c r="U58" s="186">
        <v>1</v>
      </c>
      <c r="V58" s="186">
        <v>0</v>
      </c>
      <c r="W58" s="186">
        <v>1</v>
      </c>
      <c r="X58" s="186">
        <v>0</v>
      </c>
      <c r="Y58" s="186">
        <v>5</v>
      </c>
      <c r="Z58" s="186">
        <v>0</v>
      </c>
      <c r="AA58" s="186">
        <v>0</v>
      </c>
      <c r="AB58" s="141" t="s">
        <v>325</v>
      </c>
      <c r="AC58" s="131" t="s">
        <v>96</v>
      </c>
      <c r="AD58" s="142">
        <v>10112500</v>
      </c>
      <c r="AE58" s="142">
        <v>10276800</v>
      </c>
      <c r="AF58" s="142">
        <f>10276800-43100</f>
        <v>10233700</v>
      </c>
      <c r="AG58" s="142">
        <f>10276800-43100</f>
        <v>10233700</v>
      </c>
      <c r="AH58" s="142">
        <f>9999400+234300</f>
        <v>10233700</v>
      </c>
      <c r="AI58" s="142">
        <v>9999400</v>
      </c>
      <c r="AJ58" s="143">
        <f>SUM(AD58:AI58)</f>
        <v>61089800</v>
      </c>
      <c r="AK58" s="134">
        <v>2027</v>
      </c>
      <c r="AL58" s="10"/>
    </row>
    <row r="59" spans="1:38" s="8" customFormat="1" ht="69.75" customHeight="1">
      <c r="A59" s="10"/>
      <c r="B59" s="186"/>
      <c r="C59" s="186"/>
      <c r="D59" s="186"/>
      <c r="E59" s="186"/>
      <c r="F59" s="186"/>
      <c r="G59" s="186"/>
      <c r="H59" s="186"/>
      <c r="I59" s="186"/>
      <c r="J59" s="186"/>
      <c r="K59" s="186"/>
      <c r="L59" s="186"/>
      <c r="M59" s="186"/>
      <c r="N59" s="186"/>
      <c r="O59" s="186"/>
      <c r="P59" s="186"/>
      <c r="Q59" s="186"/>
      <c r="R59" s="186"/>
      <c r="S59" s="186">
        <v>1</v>
      </c>
      <c r="T59" s="186">
        <v>2</v>
      </c>
      <c r="U59" s="186">
        <v>1</v>
      </c>
      <c r="V59" s="186">
        <v>0</v>
      </c>
      <c r="W59" s="186">
        <v>1</v>
      </c>
      <c r="X59" s="186">
        <v>0</v>
      </c>
      <c r="Y59" s="186">
        <v>5</v>
      </c>
      <c r="Z59" s="186">
        <v>0</v>
      </c>
      <c r="AA59" s="186">
        <v>1</v>
      </c>
      <c r="AB59" s="82" t="s">
        <v>326</v>
      </c>
      <c r="AC59" s="52" t="s">
        <v>107</v>
      </c>
      <c r="AD59" s="97">
        <v>118</v>
      </c>
      <c r="AE59" s="97">
        <v>118</v>
      </c>
      <c r="AF59" s="97">
        <v>118</v>
      </c>
      <c r="AG59" s="97">
        <v>118</v>
      </c>
      <c r="AH59" s="97">
        <v>118</v>
      </c>
      <c r="AI59" s="97">
        <v>118</v>
      </c>
      <c r="AJ59" s="122">
        <f>SUM(AF59:AI59)</f>
        <v>472</v>
      </c>
      <c r="AK59" s="97">
        <v>2027</v>
      </c>
      <c r="AL59" s="10"/>
    </row>
    <row r="60" spans="1:38" s="8" customFormat="1" ht="78" customHeight="1">
      <c r="A60" s="10"/>
      <c r="B60" s="186">
        <v>0</v>
      </c>
      <c r="C60" s="186">
        <v>2</v>
      </c>
      <c r="D60" s="186">
        <v>9</v>
      </c>
      <c r="E60" s="186">
        <v>0</v>
      </c>
      <c r="F60" s="186">
        <v>7</v>
      </c>
      <c r="G60" s="186">
        <v>0</v>
      </c>
      <c r="H60" s="186">
        <v>2</v>
      </c>
      <c r="I60" s="186">
        <v>1</v>
      </c>
      <c r="J60" s="186">
        <v>2</v>
      </c>
      <c r="K60" s="186">
        <v>1</v>
      </c>
      <c r="L60" s="186">
        <v>0</v>
      </c>
      <c r="M60" s="186">
        <v>1</v>
      </c>
      <c r="N60" s="186" t="s">
        <v>75</v>
      </c>
      <c r="O60" s="186">
        <v>1</v>
      </c>
      <c r="P60" s="186">
        <v>3</v>
      </c>
      <c r="Q60" s="186">
        <v>9</v>
      </c>
      <c r="R60" s="186">
        <v>0</v>
      </c>
      <c r="S60" s="186">
        <v>1</v>
      </c>
      <c r="T60" s="186">
        <v>2</v>
      </c>
      <c r="U60" s="186">
        <v>1</v>
      </c>
      <c r="V60" s="186">
        <v>0</v>
      </c>
      <c r="W60" s="186">
        <v>1</v>
      </c>
      <c r="X60" s="186">
        <v>0</v>
      </c>
      <c r="Y60" s="186">
        <v>6</v>
      </c>
      <c r="Z60" s="186">
        <v>0</v>
      </c>
      <c r="AA60" s="186">
        <v>0</v>
      </c>
      <c r="AB60" s="207" t="s">
        <v>300</v>
      </c>
      <c r="AC60" s="131" t="s">
        <v>96</v>
      </c>
      <c r="AD60" s="142">
        <v>2695.21</v>
      </c>
      <c r="AE60" s="142">
        <v>0</v>
      </c>
      <c r="AF60" s="142">
        <v>0</v>
      </c>
      <c r="AG60" s="142">
        <v>0</v>
      </c>
      <c r="AH60" s="142">
        <v>0</v>
      </c>
      <c r="AI60" s="142">
        <v>0</v>
      </c>
      <c r="AJ60" s="142">
        <f>SUM(AF60:AI60)</f>
        <v>0</v>
      </c>
      <c r="AK60" s="134">
        <v>2022</v>
      </c>
      <c r="AL60" s="10"/>
    </row>
    <row r="61" spans="1:38" s="8" customFormat="1" ht="89.25">
      <c r="A61" s="10"/>
      <c r="B61" s="185"/>
      <c r="C61" s="185"/>
      <c r="D61" s="185"/>
      <c r="E61" s="185"/>
      <c r="F61" s="185"/>
      <c r="G61" s="185"/>
      <c r="H61" s="185"/>
      <c r="I61" s="185"/>
      <c r="J61" s="185"/>
      <c r="K61" s="185"/>
      <c r="L61" s="185"/>
      <c r="M61" s="185"/>
      <c r="N61" s="185"/>
      <c r="O61" s="185"/>
      <c r="P61" s="185"/>
      <c r="Q61" s="185"/>
      <c r="R61" s="185"/>
      <c r="S61" s="186">
        <v>1</v>
      </c>
      <c r="T61" s="186">
        <v>2</v>
      </c>
      <c r="U61" s="186">
        <v>1</v>
      </c>
      <c r="V61" s="186">
        <v>0</v>
      </c>
      <c r="W61" s="186">
        <v>1</v>
      </c>
      <c r="X61" s="186">
        <v>0</v>
      </c>
      <c r="Y61" s="185">
        <v>6</v>
      </c>
      <c r="Z61" s="185">
        <v>0</v>
      </c>
      <c r="AA61" s="185">
        <v>1</v>
      </c>
      <c r="AB61" s="82" t="s">
        <v>312</v>
      </c>
      <c r="AC61" s="52" t="s">
        <v>95</v>
      </c>
      <c r="AD61" s="87">
        <v>8</v>
      </c>
      <c r="AE61" s="87">
        <v>0</v>
      </c>
      <c r="AF61" s="87">
        <v>0</v>
      </c>
      <c r="AG61" s="87">
        <v>0</v>
      </c>
      <c r="AH61" s="87">
        <v>0</v>
      </c>
      <c r="AI61" s="87">
        <v>0</v>
      </c>
      <c r="AJ61" s="122">
        <f>SUM(AD61:AI61)</f>
        <v>8</v>
      </c>
      <c r="AK61" s="87">
        <v>2022</v>
      </c>
      <c r="AL61" s="10"/>
    </row>
    <row r="62" spans="1:38" s="8" customFormat="1" ht="75">
      <c r="A62" s="10"/>
      <c r="B62" s="186">
        <v>0</v>
      </c>
      <c r="C62" s="186">
        <v>2</v>
      </c>
      <c r="D62" s="186">
        <v>9</v>
      </c>
      <c r="E62" s="186">
        <v>0</v>
      </c>
      <c r="F62" s="186">
        <v>7</v>
      </c>
      <c r="G62" s="186">
        <v>0</v>
      </c>
      <c r="H62" s="186">
        <v>3</v>
      </c>
      <c r="I62" s="186">
        <v>1</v>
      </c>
      <c r="J62" s="186">
        <v>2</v>
      </c>
      <c r="K62" s="186">
        <v>1</v>
      </c>
      <c r="L62" s="186">
        <v>0</v>
      </c>
      <c r="M62" s="186">
        <v>1</v>
      </c>
      <c r="N62" s="186" t="s">
        <v>75</v>
      </c>
      <c r="O62" s="186">
        <v>1</v>
      </c>
      <c r="P62" s="186">
        <v>3</v>
      </c>
      <c r="Q62" s="186">
        <v>9</v>
      </c>
      <c r="R62" s="186">
        <v>0</v>
      </c>
      <c r="S62" s="186">
        <v>1</v>
      </c>
      <c r="T62" s="186">
        <v>2</v>
      </c>
      <c r="U62" s="186">
        <v>1</v>
      </c>
      <c r="V62" s="186">
        <v>0</v>
      </c>
      <c r="W62" s="186">
        <v>1</v>
      </c>
      <c r="X62" s="186">
        <v>0</v>
      </c>
      <c r="Y62" s="186">
        <v>7</v>
      </c>
      <c r="Z62" s="186">
        <v>0</v>
      </c>
      <c r="AA62" s="186">
        <v>0</v>
      </c>
      <c r="AB62" s="207" t="s">
        <v>331</v>
      </c>
      <c r="AC62" s="131" t="s">
        <v>96</v>
      </c>
      <c r="AD62" s="142">
        <v>1946.49</v>
      </c>
      <c r="AE62" s="142">
        <v>0</v>
      </c>
      <c r="AF62" s="142">
        <v>0</v>
      </c>
      <c r="AG62" s="142">
        <v>0</v>
      </c>
      <c r="AH62" s="142">
        <v>0</v>
      </c>
      <c r="AI62" s="142">
        <v>0</v>
      </c>
      <c r="AJ62" s="142">
        <f>SUM(AF62:AI62)</f>
        <v>0</v>
      </c>
      <c r="AK62" s="134">
        <v>2022</v>
      </c>
      <c r="AL62" s="10"/>
    </row>
    <row r="63" spans="1:38" s="8" customFormat="1" ht="89.25">
      <c r="A63" s="10"/>
      <c r="B63" s="185"/>
      <c r="C63" s="185"/>
      <c r="D63" s="185"/>
      <c r="E63" s="185"/>
      <c r="F63" s="185"/>
      <c r="G63" s="185"/>
      <c r="H63" s="185"/>
      <c r="I63" s="185"/>
      <c r="J63" s="185"/>
      <c r="K63" s="185"/>
      <c r="L63" s="185"/>
      <c r="M63" s="185"/>
      <c r="N63" s="185"/>
      <c r="O63" s="185"/>
      <c r="P63" s="185"/>
      <c r="Q63" s="185"/>
      <c r="R63" s="185"/>
      <c r="S63" s="186">
        <v>1</v>
      </c>
      <c r="T63" s="186">
        <v>2</v>
      </c>
      <c r="U63" s="186">
        <v>1</v>
      </c>
      <c r="V63" s="186">
        <v>0</v>
      </c>
      <c r="W63" s="186">
        <v>1</v>
      </c>
      <c r="X63" s="186">
        <v>0</v>
      </c>
      <c r="Y63" s="185">
        <v>7</v>
      </c>
      <c r="Z63" s="185">
        <v>0</v>
      </c>
      <c r="AA63" s="185">
        <v>1</v>
      </c>
      <c r="AB63" s="82" t="s">
        <v>330</v>
      </c>
      <c r="AC63" s="52" t="s">
        <v>95</v>
      </c>
      <c r="AD63" s="87">
        <v>2</v>
      </c>
      <c r="AE63" s="87">
        <v>0</v>
      </c>
      <c r="AF63" s="87">
        <v>0</v>
      </c>
      <c r="AG63" s="87">
        <v>0</v>
      </c>
      <c r="AH63" s="87">
        <v>0</v>
      </c>
      <c r="AI63" s="87">
        <v>0</v>
      </c>
      <c r="AJ63" s="122">
        <f>SUM(AD63:AI63)</f>
        <v>2</v>
      </c>
      <c r="AK63" s="87">
        <v>2022</v>
      </c>
      <c r="AL63" s="10"/>
    </row>
    <row r="64" spans="1:38" s="8" customFormat="1" ht="75">
      <c r="A64" s="10"/>
      <c r="B64" s="186">
        <v>0</v>
      </c>
      <c r="C64" s="186">
        <v>2</v>
      </c>
      <c r="D64" s="186">
        <v>9</v>
      </c>
      <c r="E64" s="186">
        <v>0</v>
      </c>
      <c r="F64" s="186">
        <v>7</v>
      </c>
      <c r="G64" s="186">
        <v>0</v>
      </c>
      <c r="H64" s="186">
        <v>2</v>
      </c>
      <c r="I64" s="186">
        <v>1</v>
      </c>
      <c r="J64" s="186">
        <v>2</v>
      </c>
      <c r="K64" s="186">
        <v>1</v>
      </c>
      <c r="L64" s="186">
        <v>0</v>
      </c>
      <c r="M64" s="186">
        <v>1</v>
      </c>
      <c r="N64" s="186">
        <v>1</v>
      </c>
      <c r="O64" s="186">
        <v>1</v>
      </c>
      <c r="P64" s="186">
        <v>3</v>
      </c>
      <c r="Q64" s="186">
        <v>9</v>
      </c>
      <c r="R64" s="186">
        <v>0</v>
      </c>
      <c r="S64" s="186">
        <v>1</v>
      </c>
      <c r="T64" s="186">
        <v>2</v>
      </c>
      <c r="U64" s="186">
        <v>1</v>
      </c>
      <c r="V64" s="186">
        <v>0</v>
      </c>
      <c r="W64" s="186">
        <v>1</v>
      </c>
      <c r="X64" s="186">
        <v>0</v>
      </c>
      <c r="Y64" s="186">
        <v>8</v>
      </c>
      <c r="Z64" s="186">
        <v>0</v>
      </c>
      <c r="AA64" s="186">
        <v>0</v>
      </c>
      <c r="AB64" s="207" t="s">
        <v>301</v>
      </c>
      <c r="AC64" s="131" t="s">
        <v>96</v>
      </c>
      <c r="AD64" s="209">
        <v>266818.87</v>
      </c>
      <c r="AE64" s="142">
        <v>0</v>
      </c>
      <c r="AF64" s="142">
        <v>0</v>
      </c>
      <c r="AG64" s="142">
        <v>0</v>
      </c>
      <c r="AH64" s="142">
        <v>0</v>
      </c>
      <c r="AI64" s="142">
        <v>0</v>
      </c>
      <c r="AJ64" s="142">
        <f>SUM(AF64:AI64)</f>
        <v>0</v>
      </c>
      <c r="AK64" s="134">
        <v>2022</v>
      </c>
      <c r="AL64" s="10"/>
    </row>
    <row r="65" spans="1:38" s="8" customFormat="1" ht="89.25">
      <c r="A65" s="10"/>
      <c r="B65" s="185"/>
      <c r="C65" s="185"/>
      <c r="D65" s="185"/>
      <c r="E65" s="185"/>
      <c r="F65" s="185"/>
      <c r="G65" s="185"/>
      <c r="H65" s="185"/>
      <c r="I65" s="185"/>
      <c r="J65" s="185"/>
      <c r="K65" s="185"/>
      <c r="L65" s="185"/>
      <c r="M65" s="185"/>
      <c r="N65" s="185"/>
      <c r="O65" s="185"/>
      <c r="P65" s="185"/>
      <c r="Q65" s="185"/>
      <c r="R65" s="185"/>
      <c r="S65" s="186">
        <v>1</v>
      </c>
      <c r="T65" s="186">
        <v>2</v>
      </c>
      <c r="U65" s="186">
        <v>1</v>
      </c>
      <c r="V65" s="186">
        <v>0</v>
      </c>
      <c r="W65" s="186">
        <v>1</v>
      </c>
      <c r="X65" s="186">
        <v>0</v>
      </c>
      <c r="Y65" s="185">
        <v>8</v>
      </c>
      <c r="Z65" s="185">
        <v>0</v>
      </c>
      <c r="AA65" s="185">
        <v>1</v>
      </c>
      <c r="AB65" s="82" t="s">
        <v>313</v>
      </c>
      <c r="AC65" s="52" t="s">
        <v>95</v>
      </c>
      <c r="AD65" s="87">
        <v>8</v>
      </c>
      <c r="AE65" s="87">
        <v>0</v>
      </c>
      <c r="AF65" s="87">
        <v>0</v>
      </c>
      <c r="AG65" s="87">
        <v>0</v>
      </c>
      <c r="AH65" s="87">
        <v>0</v>
      </c>
      <c r="AI65" s="87">
        <v>0</v>
      </c>
      <c r="AJ65" s="122">
        <f>SUM(AD65:AI65)</f>
        <v>8</v>
      </c>
      <c r="AK65" s="87">
        <v>2022</v>
      </c>
      <c r="AL65" s="10"/>
    </row>
    <row r="66" spans="1:38" s="8" customFormat="1" ht="75">
      <c r="A66" s="10"/>
      <c r="B66" s="186">
        <v>0</v>
      </c>
      <c r="C66" s="186">
        <v>2</v>
      </c>
      <c r="D66" s="186">
        <v>9</v>
      </c>
      <c r="E66" s="186">
        <v>0</v>
      </c>
      <c r="F66" s="186">
        <v>7</v>
      </c>
      <c r="G66" s="186">
        <v>0</v>
      </c>
      <c r="H66" s="186">
        <v>3</v>
      </c>
      <c r="I66" s="186">
        <v>1</v>
      </c>
      <c r="J66" s="186">
        <v>2</v>
      </c>
      <c r="K66" s="186">
        <v>1</v>
      </c>
      <c r="L66" s="186">
        <v>0</v>
      </c>
      <c r="M66" s="186">
        <v>1</v>
      </c>
      <c r="N66" s="186">
        <v>1</v>
      </c>
      <c r="O66" s="186">
        <v>1</v>
      </c>
      <c r="P66" s="186">
        <v>3</v>
      </c>
      <c r="Q66" s="186">
        <v>9</v>
      </c>
      <c r="R66" s="186">
        <v>0</v>
      </c>
      <c r="S66" s="186">
        <v>1</v>
      </c>
      <c r="T66" s="186">
        <v>2</v>
      </c>
      <c r="U66" s="186">
        <v>1</v>
      </c>
      <c r="V66" s="186">
        <v>0</v>
      </c>
      <c r="W66" s="186">
        <v>1</v>
      </c>
      <c r="X66" s="186">
        <v>0</v>
      </c>
      <c r="Y66" s="186">
        <v>9</v>
      </c>
      <c r="Z66" s="186">
        <v>0</v>
      </c>
      <c r="AA66" s="186">
        <v>0</v>
      </c>
      <c r="AB66" s="207" t="s">
        <v>329</v>
      </c>
      <c r="AC66" s="131" t="s">
        <v>96</v>
      </c>
      <c r="AD66" s="142">
        <v>192702.51</v>
      </c>
      <c r="AE66" s="142">
        <v>0</v>
      </c>
      <c r="AF66" s="142">
        <v>0</v>
      </c>
      <c r="AG66" s="142">
        <v>0</v>
      </c>
      <c r="AH66" s="142">
        <v>0</v>
      </c>
      <c r="AI66" s="142">
        <v>0</v>
      </c>
      <c r="AJ66" s="142">
        <f>SUM(AF66:AI66)</f>
        <v>0</v>
      </c>
      <c r="AK66" s="134">
        <v>2022</v>
      </c>
      <c r="AL66" s="10"/>
    </row>
    <row r="67" spans="1:38" s="8" customFormat="1" ht="89.25">
      <c r="A67" s="10"/>
      <c r="B67" s="185"/>
      <c r="C67" s="185"/>
      <c r="D67" s="185"/>
      <c r="E67" s="185"/>
      <c r="F67" s="185"/>
      <c r="G67" s="185"/>
      <c r="H67" s="185"/>
      <c r="I67" s="185"/>
      <c r="J67" s="185"/>
      <c r="K67" s="185"/>
      <c r="L67" s="185"/>
      <c r="M67" s="185"/>
      <c r="N67" s="185"/>
      <c r="O67" s="185"/>
      <c r="P67" s="185"/>
      <c r="Q67" s="185"/>
      <c r="R67" s="185"/>
      <c r="S67" s="186">
        <v>1</v>
      </c>
      <c r="T67" s="186">
        <v>2</v>
      </c>
      <c r="U67" s="186">
        <v>1</v>
      </c>
      <c r="V67" s="186">
        <v>0</v>
      </c>
      <c r="W67" s="186">
        <v>1</v>
      </c>
      <c r="X67" s="186">
        <v>0</v>
      </c>
      <c r="Y67" s="185">
        <v>9</v>
      </c>
      <c r="Z67" s="185">
        <v>0</v>
      </c>
      <c r="AA67" s="185">
        <v>1</v>
      </c>
      <c r="AB67" s="82" t="s">
        <v>328</v>
      </c>
      <c r="AC67" s="52" t="s">
        <v>95</v>
      </c>
      <c r="AD67" s="87">
        <v>2</v>
      </c>
      <c r="AE67" s="87">
        <v>0</v>
      </c>
      <c r="AF67" s="87">
        <v>0</v>
      </c>
      <c r="AG67" s="87">
        <v>0</v>
      </c>
      <c r="AH67" s="87">
        <v>0</v>
      </c>
      <c r="AI67" s="87">
        <v>0</v>
      </c>
      <c r="AJ67" s="122">
        <f>SUM(AD67:AI67)</f>
        <v>2</v>
      </c>
      <c r="AK67" s="87">
        <v>2022</v>
      </c>
      <c r="AL67" s="10"/>
    </row>
    <row r="68" spans="1:38" s="8" customFormat="1" ht="69" customHeight="1">
      <c r="A68" s="10"/>
      <c r="B68" s="186">
        <v>0</v>
      </c>
      <c r="C68" s="186">
        <v>2</v>
      </c>
      <c r="D68" s="186">
        <v>9</v>
      </c>
      <c r="E68" s="186">
        <v>0</v>
      </c>
      <c r="F68" s="186">
        <v>7</v>
      </c>
      <c r="G68" s="186">
        <v>0</v>
      </c>
      <c r="H68" s="186">
        <v>2</v>
      </c>
      <c r="I68" s="186">
        <v>1</v>
      </c>
      <c r="J68" s="186">
        <v>2</v>
      </c>
      <c r="K68" s="186">
        <v>1</v>
      </c>
      <c r="L68" s="186" t="s">
        <v>305</v>
      </c>
      <c r="M68" s="186" t="s">
        <v>74</v>
      </c>
      <c r="N68" s="186">
        <v>5</v>
      </c>
      <c r="O68" s="186">
        <v>1</v>
      </c>
      <c r="P68" s="186">
        <v>7</v>
      </c>
      <c r="Q68" s="186">
        <v>9</v>
      </c>
      <c r="R68" s="186">
        <v>0</v>
      </c>
      <c r="S68" s="186">
        <v>1</v>
      </c>
      <c r="T68" s="186">
        <v>2</v>
      </c>
      <c r="U68" s="186">
        <v>1</v>
      </c>
      <c r="V68" s="186">
        <v>0</v>
      </c>
      <c r="W68" s="186">
        <v>1</v>
      </c>
      <c r="X68" s="186">
        <v>1</v>
      </c>
      <c r="Y68" s="186">
        <v>0</v>
      </c>
      <c r="Z68" s="186">
        <v>0</v>
      </c>
      <c r="AA68" s="186">
        <v>0</v>
      </c>
      <c r="AB68" s="225" t="s">
        <v>332</v>
      </c>
      <c r="AC68" s="131" t="s">
        <v>96</v>
      </c>
      <c r="AD68" s="142">
        <v>0</v>
      </c>
      <c r="AE68" s="142">
        <v>502600</v>
      </c>
      <c r="AF68" s="142">
        <v>1486500</v>
      </c>
      <c r="AG68" s="142">
        <v>1486500</v>
      </c>
      <c r="AH68" s="142">
        <v>1486500</v>
      </c>
      <c r="AI68" s="142"/>
      <c r="AJ68" s="142">
        <f>SUM(AF68:AI68)</f>
        <v>4459500</v>
      </c>
      <c r="AK68" s="134">
        <v>2027</v>
      </c>
      <c r="AL68" s="10"/>
    </row>
    <row r="69" spans="1:38" s="8" customFormat="1" ht="69.75" customHeight="1">
      <c r="A69" s="10"/>
      <c r="B69" s="186"/>
      <c r="C69" s="186"/>
      <c r="D69" s="186"/>
      <c r="E69" s="186"/>
      <c r="F69" s="186"/>
      <c r="G69" s="186"/>
      <c r="H69" s="186"/>
      <c r="I69" s="186"/>
      <c r="J69" s="186"/>
      <c r="K69" s="186"/>
      <c r="L69" s="186"/>
      <c r="M69" s="186"/>
      <c r="N69" s="186"/>
      <c r="O69" s="186"/>
      <c r="P69" s="186"/>
      <c r="Q69" s="186"/>
      <c r="R69" s="186"/>
      <c r="S69" s="186">
        <v>1</v>
      </c>
      <c r="T69" s="186">
        <v>2</v>
      </c>
      <c r="U69" s="186">
        <v>1</v>
      </c>
      <c r="V69" s="186">
        <v>0</v>
      </c>
      <c r="W69" s="186">
        <v>1</v>
      </c>
      <c r="X69" s="186">
        <v>1</v>
      </c>
      <c r="Y69" s="186">
        <v>0</v>
      </c>
      <c r="Z69" s="186">
        <v>0</v>
      </c>
      <c r="AA69" s="186">
        <v>1</v>
      </c>
      <c r="AB69" s="82" t="s">
        <v>327</v>
      </c>
      <c r="AC69" s="52" t="s">
        <v>107</v>
      </c>
      <c r="AD69" s="97"/>
      <c r="AE69" s="99">
        <v>7</v>
      </c>
      <c r="AF69" s="99">
        <v>7</v>
      </c>
      <c r="AG69" s="99">
        <v>7</v>
      </c>
      <c r="AH69" s="97">
        <v>7</v>
      </c>
      <c r="AI69" s="97"/>
      <c r="AJ69" s="122">
        <v>7</v>
      </c>
      <c r="AK69" s="97">
        <v>2027</v>
      </c>
      <c r="AL69" s="10"/>
    </row>
    <row r="70" spans="1:38" s="8" customFormat="1" ht="119.25" customHeight="1">
      <c r="A70" s="10"/>
      <c r="B70" s="185"/>
      <c r="C70" s="185"/>
      <c r="D70" s="185"/>
      <c r="E70" s="185"/>
      <c r="F70" s="185"/>
      <c r="G70" s="185"/>
      <c r="H70" s="185"/>
      <c r="I70" s="185"/>
      <c r="J70" s="185"/>
      <c r="K70" s="185"/>
      <c r="L70" s="185"/>
      <c r="M70" s="185"/>
      <c r="N70" s="185"/>
      <c r="O70" s="185"/>
      <c r="P70" s="185"/>
      <c r="Q70" s="185"/>
      <c r="R70" s="185"/>
      <c r="S70" s="186">
        <v>1</v>
      </c>
      <c r="T70" s="186">
        <v>2</v>
      </c>
      <c r="U70" s="186">
        <v>1</v>
      </c>
      <c r="V70" s="186">
        <v>0</v>
      </c>
      <c r="W70" s="186">
        <v>2</v>
      </c>
      <c r="X70" s="186">
        <v>0</v>
      </c>
      <c r="Y70" s="185">
        <v>0</v>
      </c>
      <c r="Z70" s="185">
        <v>0</v>
      </c>
      <c r="AA70" s="185">
        <v>0</v>
      </c>
      <c r="AB70" s="127" t="s">
        <v>345</v>
      </c>
      <c r="AC70" s="128"/>
      <c r="AD70" s="213">
        <f>AD73+AD76+AD79+AD81+AD85+AD87+AD89+AD91</f>
        <v>4633460.89</v>
      </c>
      <c r="AE70" s="213">
        <f>AE73+AE76+AE79+AE81+AE85+AE87+AE89+AE91+AE92+AE82</f>
        <v>7057571.29</v>
      </c>
      <c r="AF70" s="213">
        <f>AF73+AF76+AF79+AF81+AF85+AF87+AF89+AF91+AF82</f>
        <v>6934714.34</v>
      </c>
      <c r="AG70" s="213">
        <f>AG73+AG76+AG79+AG81+AG85+AG87+AG89+AG91+AG82</f>
        <v>809124.34</v>
      </c>
      <c r="AH70" s="213">
        <f>AH73+AH76+AH79+AH81+AH85+AH87+AH89+AH91+AH82</f>
        <v>809124.34</v>
      </c>
      <c r="AI70" s="213">
        <f>AI73+AI76+AI79+AI81+AI85+AI87+AI89+AI91+AI82</f>
        <v>1548608.96</v>
      </c>
      <c r="AJ70" s="213">
        <f>SUM(AD70:AI70)</f>
        <v>21792604.16</v>
      </c>
      <c r="AK70" s="129">
        <v>2027</v>
      </c>
      <c r="AL70" s="10"/>
    </row>
    <row r="71" spans="1:38" s="8" customFormat="1" ht="80.25" customHeight="1">
      <c r="A71" s="10"/>
      <c r="B71" s="185"/>
      <c r="C71" s="185"/>
      <c r="D71" s="185"/>
      <c r="E71" s="185"/>
      <c r="F71" s="185"/>
      <c r="G71" s="185"/>
      <c r="H71" s="185"/>
      <c r="I71" s="185"/>
      <c r="J71" s="185"/>
      <c r="K71" s="185"/>
      <c r="L71" s="185"/>
      <c r="M71" s="185"/>
      <c r="N71" s="185"/>
      <c r="O71" s="185"/>
      <c r="P71" s="185"/>
      <c r="Q71" s="185"/>
      <c r="R71" s="185"/>
      <c r="S71" s="186">
        <v>1</v>
      </c>
      <c r="T71" s="186">
        <v>2</v>
      </c>
      <c r="U71" s="186">
        <v>1</v>
      </c>
      <c r="V71" s="186">
        <v>0</v>
      </c>
      <c r="W71" s="186">
        <v>2</v>
      </c>
      <c r="X71" s="186">
        <v>0</v>
      </c>
      <c r="Y71" s="185">
        <v>0</v>
      </c>
      <c r="Z71" s="185">
        <v>0</v>
      </c>
      <c r="AA71" s="185">
        <v>1</v>
      </c>
      <c r="AB71" s="80" t="s">
        <v>191</v>
      </c>
      <c r="AC71" s="50" t="s">
        <v>94</v>
      </c>
      <c r="AD71" s="37">
        <v>100</v>
      </c>
      <c r="AE71" s="37">
        <v>100</v>
      </c>
      <c r="AF71" s="37">
        <v>100</v>
      </c>
      <c r="AG71" s="37">
        <v>100</v>
      </c>
      <c r="AH71" s="37">
        <v>100</v>
      </c>
      <c r="AI71" s="37">
        <v>100</v>
      </c>
      <c r="AJ71" s="58">
        <v>100</v>
      </c>
      <c r="AK71" s="37">
        <v>2027</v>
      </c>
      <c r="AL71" s="10"/>
    </row>
    <row r="72" spans="1:38" s="8" customFormat="1" ht="49.5" customHeight="1">
      <c r="A72" s="10"/>
      <c r="B72" s="185"/>
      <c r="C72" s="185"/>
      <c r="D72" s="185"/>
      <c r="E72" s="185"/>
      <c r="F72" s="185"/>
      <c r="G72" s="185"/>
      <c r="H72" s="185"/>
      <c r="I72" s="185"/>
      <c r="J72" s="185"/>
      <c r="K72" s="185"/>
      <c r="L72" s="185"/>
      <c r="M72" s="185"/>
      <c r="N72" s="185"/>
      <c r="O72" s="185"/>
      <c r="P72" s="185"/>
      <c r="Q72" s="185"/>
      <c r="R72" s="185"/>
      <c r="S72" s="186">
        <v>1</v>
      </c>
      <c r="T72" s="186">
        <v>2</v>
      </c>
      <c r="U72" s="186">
        <v>1</v>
      </c>
      <c r="V72" s="186">
        <v>0</v>
      </c>
      <c r="W72" s="186">
        <v>2</v>
      </c>
      <c r="X72" s="186">
        <v>0</v>
      </c>
      <c r="Y72" s="185">
        <v>0</v>
      </c>
      <c r="Z72" s="185">
        <v>0</v>
      </c>
      <c r="AA72" s="185">
        <v>2</v>
      </c>
      <c r="AB72" s="80" t="s">
        <v>192</v>
      </c>
      <c r="AC72" s="50" t="s">
        <v>94</v>
      </c>
      <c r="AD72" s="37">
        <v>100</v>
      </c>
      <c r="AE72" s="37">
        <v>100</v>
      </c>
      <c r="AF72" s="37">
        <v>100</v>
      </c>
      <c r="AG72" s="37">
        <v>100</v>
      </c>
      <c r="AH72" s="37">
        <v>100</v>
      </c>
      <c r="AI72" s="37">
        <v>100</v>
      </c>
      <c r="AJ72" s="58">
        <v>100</v>
      </c>
      <c r="AK72" s="37">
        <v>2027</v>
      </c>
      <c r="AL72" s="10"/>
    </row>
    <row r="73" spans="1:38" s="8" customFormat="1" ht="168.75" customHeight="1">
      <c r="A73" s="10"/>
      <c r="B73" s="185">
        <v>0</v>
      </c>
      <c r="C73" s="185">
        <v>2</v>
      </c>
      <c r="D73" s="185">
        <v>9</v>
      </c>
      <c r="E73" s="185">
        <v>0</v>
      </c>
      <c r="F73" s="185">
        <v>7</v>
      </c>
      <c r="G73" s="185">
        <v>0</v>
      </c>
      <c r="H73" s="185">
        <v>2</v>
      </c>
      <c r="I73" s="185">
        <v>1</v>
      </c>
      <c r="J73" s="185">
        <v>2</v>
      </c>
      <c r="K73" s="185">
        <v>1</v>
      </c>
      <c r="L73" s="185">
        <v>0</v>
      </c>
      <c r="M73" s="185">
        <v>2</v>
      </c>
      <c r="N73" s="185">
        <v>2</v>
      </c>
      <c r="O73" s="185">
        <v>0</v>
      </c>
      <c r="P73" s="185">
        <v>0</v>
      </c>
      <c r="Q73" s="185">
        <v>4</v>
      </c>
      <c r="R73" s="185" t="s">
        <v>74</v>
      </c>
      <c r="S73" s="185">
        <v>1</v>
      </c>
      <c r="T73" s="185">
        <v>2</v>
      </c>
      <c r="U73" s="185">
        <v>1</v>
      </c>
      <c r="V73" s="185">
        <v>0</v>
      </c>
      <c r="W73" s="185">
        <v>2</v>
      </c>
      <c r="X73" s="185">
        <v>0</v>
      </c>
      <c r="Y73" s="185">
        <v>1</v>
      </c>
      <c r="Z73" s="185">
        <v>0</v>
      </c>
      <c r="AA73" s="185">
        <v>0</v>
      </c>
      <c r="AB73" s="141" t="s">
        <v>346</v>
      </c>
      <c r="AC73" s="131" t="s">
        <v>96</v>
      </c>
      <c r="AD73" s="138">
        <v>3000730.8</v>
      </c>
      <c r="AE73" s="138">
        <f>2338832+100000</f>
        <v>2438832</v>
      </c>
      <c r="AF73" s="138">
        <f>59544+1294456</f>
        <v>1354000</v>
      </c>
      <c r="AG73" s="138">
        <f>400000-400000</f>
        <v>0</v>
      </c>
      <c r="AH73" s="138">
        <f>400000-400000</f>
        <v>0</v>
      </c>
      <c r="AI73" s="138">
        <v>400000</v>
      </c>
      <c r="AJ73" s="138">
        <f>SUM(AD73:AI73)</f>
        <v>7193562.8</v>
      </c>
      <c r="AK73" s="136">
        <v>2027</v>
      </c>
      <c r="AL73" s="10"/>
    </row>
    <row r="74" spans="1:38" s="8" customFormat="1" ht="20.25" customHeight="1" hidden="1">
      <c r="A74" s="10"/>
      <c r="B74" s="185">
        <v>0</v>
      </c>
      <c r="C74" s="185">
        <v>2</v>
      </c>
      <c r="D74" s="185">
        <v>9</v>
      </c>
      <c r="E74" s="185">
        <v>0</v>
      </c>
      <c r="F74" s="185">
        <v>7</v>
      </c>
      <c r="G74" s="185">
        <v>0</v>
      </c>
      <c r="H74" s="185">
        <v>2</v>
      </c>
      <c r="I74" s="185">
        <v>1</v>
      </c>
      <c r="J74" s="185">
        <v>2</v>
      </c>
      <c r="K74" s="185">
        <v>1</v>
      </c>
      <c r="L74" s="185"/>
      <c r="M74" s="185"/>
      <c r="N74" s="185">
        <v>2</v>
      </c>
      <c r="O74" s="185">
        <v>0</v>
      </c>
      <c r="P74" s="185">
        <v>1</v>
      </c>
      <c r="Q74" s="185">
        <v>0</v>
      </c>
      <c r="R74" s="185"/>
      <c r="S74" s="185">
        <v>1</v>
      </c>
      <c r="T74" s="185">
        <v>2</v>
      </c>
      <c r="U74" s="185">
        <v>1</v>
      </c>
      <c r="V74" s="185">
        <v>0</v>
      </c>
      <c r="W74" s="185">
        <v>2</v>
      </c>
      <c r="X74" s="185">
        <v>0</v>
      </c>
      <c r="Y74" s="185">
        <v>1</v>
      </c>
      <c r="Z74" s="185">
        <v>0</v>
      </c>
      <c r="AA74" s="185">
        <v>0</v>
      </c>
      <c r="AB74" s="81" t="s">
        <v>6</v>
      </c>
      <c r="AC74" s="72" t="s">
        <v>96</v>
      </c>
      <c r="AD74" s="92"/>
      <c r="AE74" s="92"/>
      <c r="AF74" s="92"/>
      <c r="AG74" s="92"/>
      <c r="AH74" s="92"/>
      <c r="AI74" s="92"/>
      <c r="AJ74" s="92"/>
      <c r="AK74" s="91"/>
      <c r="AL74" s="10"/>
    </row>
    <row r="75" spans="1:38" s="8" customFormat="1" ht="127.5" customHeight="1">
      <c r="A75" s="10"/>
      <c r="B75" s="185"/>
      <c r="C75" s="185"/>
      <c r="D75" s="185"/>
      <c r="E75" s="185"/>
      <c r="F75" s="185"/>
      <c r="G75" s="185"/>
      <c r="H75" s="185"/>
      <c r="I75" s="185"/>
      <c r="J75" s="185"/>
      <c r="K75" s="185"/>
      <c r="L75" s="185"/>
      <c r="M75" s="185"/>
      <c r="N75" s="185"/>
      <c r="O75" s="185"/>
      <c r="P75" s="185"/>
      <c r="Q75" s="185"/>
      <c r="R75" s="185"/>
      <c r="S75" s="185">
        <v>1</v>
      </c>
      <c r="T75" s="185">
        <v>2</v>
      </c>
      <c r="U75" s="185">
        <v>1</v>
      </c>
      <c r="V75" s="185">
        <v>0</v>
      </c>
      <c r="W75" s="185">
        <v>2</v>
      </c>
      <c r="X75" s="185">
        <v>0</v>
      </c>
      <c r="Y75" s="185">
        <v>1</v>
      </c>
      <c r="Z75" s="185">
        <v>0</v>
      </c>
      <c r="AA75" s="185">
        <v>1</v>
      </c>
      <c r="AB75" s="82" t="s">
        <v>108</v>
      </c>
      <c r="AC75" s="52" t="s">
        <v>95</v>
      </c>
      <c r="AD75" s="87">
        <v>8</v>
      </c>
      <c r="AE75" s="87">
        <v>8</v>
      </c>
      <c r="AF75" s="87">
        <v>8</v>
      </c>
      <c r="AG75" s="87">
        <v>8</v>
      </c>
      <c r="AH75" s="87">
        <v>8</v>
      </c>
      <c r="AI75" s="87">
        <v>8</v>
      </c>
      <c r="AJ75" s="122">
        <f>SUM(AD75:AI75)</f>
        <v>48</v>
      </c>
      <c r="AK75" s="87">
        <v>2027</v>
      </c>
      <c r="AL75" s="10"/>
    </row>
    <row r="76" spans="1:38" s="8" customFormat="1" ht="118.5" customHeight="1">
      <c r="A76" s="10"/>
      <c r="B76" s="185">
        <v>0</v>
      </c>
      <c r="C76" s="185">
        <v>2</v>
      </c>
      <c r="D76" s="185">
        <v>9</v>
      </c>
      <c r="E76" s="185">
        <v>0</v>
      </c>
      <c r="F76" s="185">
        <v>7</v>
      </c>
      <c r="G76" s="185">
        <v>0</v>
      </c>
      <c r="H76" s="185">
        <v>3</v>
      </c>
      <c r="I76" s="185">
        <v>1</v>
      </c>
      <c r="J76" s="185">
        <v>2</v>
      </c>
      <c r="K76" s="185">
        <v>1</v>
      </c>
      <c r="L76" s="185">
        <v>0</v>
      </c>
      <c r="M76" s="185">
        <v>2</v>
      </c>
      <c r="N76" s="185">
        <v>2</v>
      </c>
      <c r="O76" s="185">
        <v>0</v>
      </c>
      <c r="P76" s="185">
        <v>0</v>
      </c>
      <c r="Q76" s="185">
        <v>8</v>
      </c>
      <c r="R76" s="185" t="s">
        <v>74</v>
      </c>
      <c r="S76" s="185">
        <v>1</v>
      </c>
      <c r="T76" s="185">
        <v>2</v>
      </c>
      <c r="U76" s="185">
        <v>1</v>
      </c>
      <c r="V76" s="185">
        <v>0</v>
      </c>
      <c r="W76" s="185">
        <v>2</v>
      </c>
      <c r="X76" s="185">
        <v>0</v>
      </c>
      <c r="Y76" s="185">
        <v>2</v>
      </c>
      <c r="Z76" s="185">
        <v>0</v>
      </c>
      <c r="AA76" s="185">
        <v>0</v>
      </c>
      <c r="AB76" s="145" t="s">
        <v>203</v>
      </c>
      <c r="AC76" s="131" t="s">
        <v>96</v>
      </c>
      <c r="AD76" s="138">
        <v>200000</v>
      </c>
      <c r="AE76" s="138">
        <v>300000</v>
      </c>
      <c r="AF76" s="138">
        <f>300000-100000</f>
        <v>200000</v>
      </c>
      <c r="AG76" s="138">
        <f>300000-300000</f>
        <v>0</v>
      </c>
      <c r="AH76" s="138">
        <f>200000-200000</f>
        <v>0</v>
      </c>
      <c r="AI76" s="138">
        <v>200000</v>
      </c>
      <c r="AJ76" s="138">
        <f>SUM(AD76:AI76)</f>
        <v>900000</v>
      </c>
      <c r="AK76" s="136">
        <v>2027</v>
      </c>
      <c r="AL76" s="10"/>
    </row>
    <row r="77" spans="1:38" s="8" customFormat="1" ht="111.75" customHeight="1">
      <c r="A77" s="10"/>
      <c r="B77" s="185"/>
      <c r="C77" s="185"/>
      <c r="D77" s="185"/>
      <c r="E77" s="185"/>
      <c r="F77" s="185"/>
      <c r="G77" s="185"/>
      <c r="H77" s="185"/>
      <c r="I77" s="185"/>
      <c r="J77" s="185"/>
      <c r="K77" s="185"/>
      <c r="L77" s="185"/>
      <c r="M77" s="185"/>
      <c r="N77" s="185"/>
      <c r="O77" s="185"/>
      <c r="P77" s="185"/>
      <c r="Q77" s="185"/>
      <c r="R77" s="185"/>
      <c r="S77" s="185">
        <v>1</v>
      </c>
      <c r="T77" s="185">
        <v>2</v>
      </c>
      <c r="U77" s="185">
        <v>1</v>
      </c>
      <c r="V77" s="185">
        <v>0</v>
      </c>
      <c r="W77" s="185">
        <v>2</v>
      </c>
      <c r="X77" s="185">
        <v>0</v>
      </c>
      <c r="Y77" s="185">
        <v>2</v>
      </c>
      <c r="Z77" s="185">
        <v>0</v>
      </c>
      <c r="AA77" s="185">
        <v>1</v>
      </c>
      <c r="AB77" s="176" t="s">
        <v>109</v>
      </c>
      <c r="AC77" s="52" t="s">
        <v>95</v>
      </c>
      <c r="AD77" s="87">
        <v>2</v>
      </c>
      <c r="AE77" s="87">
        <v>2</v>
      </c>
      <c r="AF77" s="87">
        <v>2</v>
      </c>
      <c r="AG77" s="87">
        <v>2</v>
      </c>
      <c r="AH77" s="87">
        <v>2</v>
      </c>
      <c r="AI77" s="87">
        <v>2</v>
      </c>
      <c r="AJ77" s="122">
        <f>SUM(AD77:AI77)</f>
        <v>12</v>
      </c>
      <c r="AK77" s="87">
        <v>2027</v>
      </c>
      <c r="AL77" s="10"/>
    </row>
    <row r="78" spans="1:38" s="8" customFormat="1" ht="50.25" customHeight="1" hidden="1">
      <c r="A78" s="10" t="e">
        <f>+Z78:AK269</f>
        <v>#VALUE!</v>
      </c>
      <c r="B78" s="185">
        <v>0</v>
      </c>
      <c r="C78" s="185">
        <v>2</v>
      </c>
      <c r="D78" s="185">
        <v>9</v>
      </c>
      <c r="E78" s="185">
        <v>0</v>
      </c>
      <c r="F78" s="185">
        <v>7</v>
      </c>
      <c r="G78" s="185">
        <v>0</v>
      </c>
      <c r="H78" s="185">
        <v>2</v>
      </c>
      <c r="I78" s="185">
        <v>1</v>
      </c>
      <c r="J78" s="185">
        <v>2</v>
      </c>
      <c r="K78" s="185">
        <v>1</v>
      </c>
      <c r="L78" s="185">
        <v>2</v>
      </c>
      <c r="M78" s="185"/>
      <c r="N78" s="185"/>
      <c r="O78" s="185">
        <v>0</v>
      </c>
      <c r="P78" s="185">
        <v>1</v>
      </c>
      <c r="Q78" s="185">
        <v>2</v>
      </c>
      <c r="R78" s="185"/>
      <c r="S78" s="185">
        <v>1</v>
      </c>
      <c r="T78" s="185">
        <v>2</v>
      </c>
      <c r="U78" s="185">
        <v>1</v>
      </c>
      <c r="V78" s="185">
        <v>0</v>
      </c>
      <c r="W78" s="185">
        <v>2</v>
      </c>
      <c r="X78" s="185">
        <v>0</v>
      </c>
      <c r="Y78" s="185">
        <v>3</v>
      </c>
      <c r="Z78" s="185">
        <v>0</v>
      </c>
      <c r="AA78" s="185">
        <v>0</v>
      </c>
      <c r="AB78" s="237" t="s">
        <v>83</v>
      </c>
      <c r="AC78" s="131" t="s">
        <v>96</v>
      </c>
      <c r="AD78" s="137"/>
      <c r="AE78" s="137"/>
      <c r="AF78" s="137"/>
      <c r="AG78" s="137"/>
      <c r="AH78" s="137"/>
      <c r="AI78" s="137"/>
      <c r="AJ78" s="138"/>
      <c r="AK78" s="136"/>
      <c r="AL78" s="10"/>
    </row>
    <row r="79" spans="1:38" s="8" customFormat="1" ht="65.25" customHeight="1">
      <c r="A79" s="10"/>
      <c r="B79" s="185">
        <v>0</v>
      </c>
      <c r="C79" s="185">
        <v>2</v>
      </c>
      <c r="D79" s="185">
        <v>9</v>
      </c>
      <c r="E79" s="185">
        <v>0</v>
      </c>
      <c r="F79" s="185">
        <v>7</v>
      </c>
      <c r="G79" s="185">
        <v>0</v>
      </c>
      <c r="H79" s="185">
        <v>2</v>
      </c>
      <c r="I79" s="185">
        <v>1</v>
      </c>
      <c r="J79" s="185">
        <v>2</v>
      </c>
      <c r="K79" s="185">
        <v>1</v>
      </c>
      <c r="L79" s="185">
        <v>0</v>
      </c>
      <c r="M79" s="185">
        <v>2</v>
      </c>
      <c r="N79" s="185">
        <v>2</v>
      </c>
      <c r="O79" s="185">
        <v>0</v>
      </c>
      <c r="P79" s="185">
        <v>0</v>
      </c>
      <c r="Q79" s="185">
        <v>6</v>
      </c>
      <c r="R79" s="185" t="s">
        <v>74</v>
      </c>
      <c r="S79" s="185">
        <v>1</v>
      </c>
      <c r="T79" s="185">
        <v>2</v>
      </c>
      <c r="U79" s="185">
        <v>1</v>
      </c>
      <c r="V79" s="185">
        <v>0</v>
      </c>
      <c r="W79" s="185">
        <v>2</v>
      </c>
      <c r="X79" s="185">
        <v>0</v>
      </c>
      <c r="Y79" s="185">
        <v>3</v>
      </c>
      <c r="Z79" s="185">
        <v>0</v>
      </c>
      <c r="AA79" s="185">
        <v>0</v>
      </c>
      <c r="AB79" s="238"/>
      <c r="AC79" s="131" t="s">
        <v>96</v>
      </c>
      <c r="AD79" s="137">
        <f>948608.96-119942.2</f>
        <v>828666.76</v>
      </c>
      <c r="AE79" s="137">
        <v>948608.96</v>
      </c>
      <c r="AF79" s="137">
        <f>948608.96-139484.62</f>
        <v>809124.34</v>
      </c>
      <c r="AG79" s="137">
        <f>948608.96-139484.62</f>
        <v>809124.34</v>
      </c>
      <c r="AH79" s="137">
        <f>948608.96-139484.62</f>
        <v>809124.34</v>
      </c>
      <c r="AI79" s="137">
        <v>948608.96</v>
      </c>
      <c r="AJ79" s="138">
        <f>SUM(AD79:AI79)</f>
        <v>5153257.7</v>
      </c>
      <c r="AK79" s="136">
        <v>2027</v>
      </c>
      <c r="AL79" s="10"/>
    </row>
    <row r="80" spans="1:38" s="8" customFormat="1" ht="69" customHeight="1">
      <c r="A80" s="10"/>
      <c r="B80" s="185"/>
      <c r="C80" s="185"/>
      <c r="D80" s="185"/>
      <c r="E80" s="185"/>
      <c r="F80" s="185"/>
      <c r="G80" s="185"/>
      <c r="H80" s="185"/>
      <c r="I80" s="185"/>
      <c r="J80" s="185"/>
      <c r="K80" s="185"/>
      <c r="L80" s="185"/>
      <c r="M80" s="185"/>
      <c r="N80" s="185"/>
      <c r="O80" s="185"/>
      <c r="P80" s="185"/>
      <c r="Q80" s="185"/>
      <c r="R80" s="185"/>
      <c r="S80" s="185">
        <v>1</v>
      </c>
      <c r="T80" s="185">
        <v>2</v>
      </c>
      <c r="U80" s="185">
        <v>1</v>
      </c>
      <c r="V80" s="185">
        <v>0</v>
      </c>
      <c r="W80" s="185">
        <v>2</v>
      </c>
      <c r="X80" s="185">
        <v>0</v>
      </c>
      <c r="Y80" s="185">
        <v>3</v>
      </c>
      <c r="Z80" s="185">
        <v>0</v>
      </c>
      <c r="AA80" s="185">
        <v>1</v>
      </c>
      <c r="AB80" s="77" t="s">
        <v>110</v>
      </c>
      <c r="AC80" s="50" t="s">
        <v>94</v>
      </c>
      <c r="AD80" s="49">
        <v>100</v>
      </c>
      <c r="AE80" s="97">
        <v>100</v>
      </c>
      <c r="AF80" s="51">
        <v>100</v>
      </c>
      <c r="AG80" s="49">
        <v>100</v>
      </c>
      <c r="AH80" s="49">
        <v>100</v>
      </c>
      <c r="AI80" s="49">
        <v>100</v>
      </c>
      <c r="AJ80" s="58">
        <v>100</v>
      </c>
      <c r="AK80" s="49">
        <v>2027</v>
      </c>
      <c r="AL80" s="10"/>
    </row>
    <row r="81" spans="1:38" s="8" customFormat="1" ht="105">
      <c r="A81" s="10"/>
      <c r="B81" s="187">
        <v>0</v>
      </c>
      <c r="C81" s="187">
        <v>2</v>
      </c>
      <c r="D81" s="185">
        <v>9</v>
      </c>
      <c r="E81" s="188">
        <v>0</v>
      </c>
      <c r="F81" s="185">
        <v>7</v>
      </c>
      <c r="G81" s="185">
        <v>0</v>
      </c>
      <c r="H81" s="185">
        <v>2</v>
      </c>
      <c r="I81" s="185">
        <v>1</v>
      </c>
      <c r="J81" s="185">
        <v>2</v>
      </c>
      <c r="K81" s="189">
        <v>1</v>
      </c>
      <c r="L81" s="185">
        <v>0</v>
      </c>
      <c r="M81" s="185">
        <v>2</v>
      </c>
      <c r="N81" s="185" t="s">
        <v>75</v>
      </c>
      <c r="O81" s="185">
        <v>0</v>
      </c>
      <c r="P81" s="185">
        <v>4</v>
      </c>
      <c r="Q81" s="185">
        <v>4</v>
      </c>
      <c r="R81" s="185" t="s">
        <v>74</v>
      </c>
      <c r="S81" s="185">
        <v>1</v>
      </c>
      <c r="T81" s="185">
        <v>2</v>
      </c>
      <c r="U81" s="185">
        <v>1</v>
      </c>
      <c r="V81" s="185">
        <v>0</v>
      </c>
      <c r="W81" s="185">
        <v>2</v>
      </c>
      <c r="X81" s="185">
        <v>0</v>
      </c>
      <c r="Y81" s="185">
        <v>4</v>
      </c>
      <c r="Z81" s="185">
        <v>0</v>
      </c>
      <c r="AA81" s="185">
        <v>0</v>
      </c>
      <c r="AB81" s="141" t="s">
        <v>343</v>
      </c>
      <c r="AC81" s="131" t="s">
        <v>96</v>
      </c>
      <c r="AD81" s="177">
        <f>1348467-305800-34063.33-195565.04-813038.63</f>
        <v>0</v>
      </c>
      <c r="AE81" s="137">
        <f>340456+75000-54464</f>
        <v>360992</v>
      </c>
      <c r="AF81" s="137">
        <f>558318+1674982</f>
        <v>2233300</v>
      </c>
      <c r="AG81" s="177">
        <v>0</v>
      </c>
      <c r="AH81" s="177">
        <v>0</v>
      </c>
      <c r="AI81" s="177">
        <v>0</v>
      </c>
      <c r="AJ81" s="137">
        <f aca="true" t="shared" si="3" ref="AJ81:AJ93">SUM(AD81:AI81)</f>
        <v>2594292</v>
      </c>
      <c r="AK81" s="136">
        <v>2024</v>
      </c>
      <c r="AL81" s="10"/>
    </row>
    <row r="82" spans="1:38" s="8" customFormat="1" ht="90">
      <c r="A82" s="10"/>
      <c r="B82" s="187">
        <v>0</v>
      </c>
      <c r="C82" s="187">
        <v>2</v>
      </c>
      <c r="D82" s="185">
        <v>9</v>
      </c>
      <c r="E82" s="188">
        <v>0</v>
      </c>
      <c r="F82" s="185">
        <v>7</v>
      </c>
      <c r="G82" s="185">
        <v>0</v>
      </c>
      <c r="H82" s="185">
        <v>2</v>
      </c>
      <c r="I82" s="185">
        <v>1</v>
      </c>
      <c r="J82" s="185">
        <v>2</v>
      </c>
      <c r="K82" s="189">
        <v>1</v>
      </c>
      <c r="L82" s="185">
        <v>0</v>
      </c>
      <c r="M82" s="185">
        <v>2</v>
      </c>
      <c r="N82" s="185">
        <v>1</v>
      </c>
      <c r="O82" s="185">
        <v>0</v>
      </c>
      <c r="P82" s="185">
        <v>4</v>
      </c>
      <c r="Q82" s="185">
        <v>4</v>
      </c>
      <c r="R82" s="185" t="s">
        <v>74</v>
      </c>
      <c r="S82" s="185">
        <v>1</v>
      </c>
      <c r="T82" s="185">
        <v>2</v>
      </c>
      <c r="U82" s="185">
        <v>1</v>
      </c>
      <c r="V82" s="185">
        <v>0</v>
      </c>
      <c r="W82" s="185">
        <v>1</v>
      </c>
      <c r="X82" s="185">
        <v>0</v>
      </c>
      <c r="Y82" s="185">
        <v>4</v>
      </c>
      <c r="Z82" s="185">
        <v>0</v>
      </c>
      <c r="AA82" s="185">
        <v>0</v>
      </c>
      <c r="AB82" s="226" t="s">
        <v>344</v>
      </c>
      <c r="AC82" s="131" t="s">
        <v>96</v>
      </c>
      <c r="AD82" s="177">
        <v>0</v>
      </c>
      <c r="AE82" s="137">
        <v>1219800</v>
      </c>
      <c r="AF82" s="137">
        <v>2233300</v>
      </c>
      <c r="AG82" s="177">
        <v>0</v>
      </c>
      <c r="AH82" s="177">
        <v>0</v>
      </c>
      <c r="AI82" s="177">
        <v>0</v>
      </c>
      <c r="AJ82" s="137">
        <f t="shared" si="3"/>
        <v>3453100</v>
      </c>
      <c r="AK82" s="136">
        <v>2024</v>
      </c>
      <c r="AL82" s="10"/>
    </row>
    <row r="83" spans="1:38" s="8" customFormat="1" ht="102.75" customHeight="1">
      <c r="A83" s="10"/>
      <c r="B83" s="187"/>
      <c r="C83" s="187"/>
      <c r="D83" s="185"/>
      <c r="E83" s="188"/>
      <c r="F83" s="185"/>
      <c r="G83" s="185"/>
      <c r="H83" s="185"/>
      <c r="I83" s="185"/>
      <c r="J83" s="185"/>
      <c r="K83" s="189"/>
      <c r="L83" s="185"/>
      <c r="M83" s="185"/>
      <c r="N83" s="185"/>
      <c r="O83" s="185"/>
      <c r="P83" s="185"/>
      <c r="Q83" s="185"/>
      <c r="R83" s="185"/>
      <c r="S83" s="185">
        <v>1</v>
      </c>
      <c r="T83" s="185">
        <v>2</v>
      </c>
      <c r="U83" s="185">
        <v>1</v>
      </c>
      <c r="V83" s="185">
        <v>0</v>
      </c>
      <c r="W83" s="185">
        <v>2</v>
      </c>
      <c r="X83" s="185">
        <v>0</v>
      </c>
      <c r="Y83" s="185">
        <v>4</v>
      </c>
      <c r="Z83" s="185">
        <v>0</v>
      </c>
      <c r="AA83" s="185">
        <v>1</v>
      </c>
      <c r="AB83" s="82" t="s">
        <v>270</v>
      </c>
      <c r="AC83" s="52" t="s">
        <v>95</v>
      </c>
      <c r="AD83" s="183">
        <v>0</v>
      </c>
      <c r="AE83" s="114">
        <v>2</v>
      </c>
      <c r="AF83" s="183">
        <v>0</v>
      </c>
      <c r="AG83" s="183">
        <v>0</v>
      </c>
      <c r="AH83" s="183">
        <v>0</v>
      </c>
      <c r="AI83" s="183">
        <v>0</v>
      </c>
      <c r="AJ83" s="183">
        <f t="shared" si="3"/>
        <v>2</v>
      </c>
      <c r="AK83" s="87">
        <v>2023</v>
      </c>
      <c r="AL83" s="10"/>
    </row>
    <row r="84" spans="1:38" s="8" customFormat="1" ht="114" customHeight="1">
      <c r="A84" s="10"/>
      <c r="B84" s="187"/>
      <c r="C84" s="187"/>
      <c r="D84" s="185"/>
      <c r="E84" s="188"/>
      <c r="F84" s="185"/>
      <c r="G84" s="185"/>
      <c r="H84" s="185"/>
      <c r="I84" s="185"/>
      <c r="J84" s="185"/>
      <c r="K84" s="189"/>
      <c r="L84" s="185"/>
      <c r="M84" s="185"/>
      <c r="N84" s="185"/>
      <c r="O84" s="185"/>
      <c r="P84" s="185"/>
      <c r="Q84" s="185"/>
      <c r="R84" s="185"/>
      <c r="S84" s="185">
        <v>1</v>
      </c>
      <c r="T84" s="185">
        <v>2</v>
      </c>
      <c r="U84" s="185">
        <v>1</v>
      </c>
      <c r="V84" s="185">
        <v>0</v>
      </c>
      <c r="W84" s="185">
        <v>2</v>
      </c>
      <c r="X84" s="185">
        <v>0</v>
      </c>
      <c r="Y84" s="185">
        <v>4</v>
      </c>
      <c r="Z84" s="185">
        <v>0</v>
      </c>
      <c r="AA84" s="185">
        <v>2</v>
      </c>
      <c r="AB84" s="82" t="s">
        <v>281</v>
      </c>
      <c r="AC84" s="52" t="s">
        <v>94</v>
      </c>
      <c r="AD84" s="178">
        <v>0</v>
      </c>
      <c r="AE84" s="179">
        <v>68.08</v>
      </c>
      <c r="AF84" s="178">
        <v>0</v>
      </c>
      <c r="AG84" s="178">
        <v>0</v>
      </c>
      <c r="AH84" s="178">
        <v>0</v>
      </c>
      <c r="AI84" s="178">
        <v>0</v>
      </c>
      <c r="AJ84" s="178">
        <f t="shared" si="3"/>
        <v>68.08</v>
      </c>
      <c r="AK84" s="87">
        <v>2023</v>
      </c>
      <c r="AL84" s="10"/>
    </row>
    <row r="85" spans="1:38" s="8" customFormat="1" ht="65.25" customHeight="1">
      <c r="A85" s="10"/>
      <c r="B85" s="187">
        <v>0</v>
      </c>
      <c r="C85" s="187">
        <v>2</v>
      </c>
      <c r="D85" s="185">
        <v>9</v>
      </c>
      <c r="E85" s="188">
        <v>0</v>
      </c>
      <c r="F85" s="185">
        <v>7</v>
      </c>
      <c r="G85" s="185">
        <v>0</v>
      </c>
      <c r="H85" s="185">
        <v>2</v>
      </c>
      <c r="I85" s="185">
        <v>1</v>
      </c>
      <c r="J85" s="185">
        <v>2</v>
      </c>
      <c r="K85" s="189">
        <v>1</v>
      </c>
      <c r="L85" s="185">
        <v>0</v>
      </c>
      <c r="M85" s="185">
        <v>2</v>
      </c>
      <c r="N85" s="185">
        <v>1</v>
      </c>
      <c r="O85" s="185">
        <v>8</v>
      </c>
      <c r="P85" s="185">
        <v>0</v>
      </c>
      <c r="Q85" s="185">
        <v>0</v>
      </c>
      <c r="R85" s="185">
        <v>0</v>
      </c>
      <c r="S85" s="185">
        <v>1</v>
      </c>
      <c r="T85" s="185">
        <v>2</v>
      </c>
      <c r="U85" s="185">
        <v>1</v>
      </c>
      <c r="V85" s="185">
        <v>0</v>
      </c>
      <c r="W85" s="185">
        <v>2</v>
      </c>
      <c r="X85" s="185">
        <v>0</v>
      </c>
      <c r="Y85" s="185">
        <v>5</v>
      </c>
      <c r="Z85" s="185">
        <v>0</v>
      </c>
      <c r="AA85" s="185">
        <v>0</v>
      </c>
      <c r="AB85" s="203" t="s">
        <v>292</v>
      </c>
      <c r="AC85" s="131" t="s">
        <v>266</v>
      </c>
      <c r="AD85" s="137">
        <v>270000</v>
      </c>
      <c r="AE85" s="137">
        <v>216300</v>
      </c>
      <c r="AF85" s="137">
        <v>0</v>
      </c>
      <c r="AG85" s="137">
        <v>0</v>
      </c>
      <c r="AH85" s="137">
        <v>0</v>
      </c>
      <c r="AI85" s="137">
        <v>0</v>
      </c>
      <c r="AJ85" s="137">
        <f t="shared" si="3"/>
        <v>486300</v>
      </c>
      <c r="AK85" s="136">
        <v>2022</v>
      </c>
      <c r="AL85" s="10"/>
    </row>
    <row r="86" spans="1:38" s="8" customFormat="1" ht="66" customHeight="1">
      <c r="A86" s="10"/>
      <c r="B86" s="187"/>
      <c r="C86" s="187"/>
      <c r="D86" s="185"/>
      <c r="E86" s="188"/>
      <c r="F86" s="185"/>
      <c r="G86" s="185"/>
      <c r="H86" s="185"/>
      <c r="I86" s="185"/>
      <c r="J86" s="185"/>
      <c r="K86" s="189"/>
      <c r="L86" s="185"/>
      <c r="M86" s="185"/>
      <c r="N86" s="185"/>
      <c r="O86" s="185"/>
      <c r="P86" s="185"/>
      <c r="Q86" s="185"/>
      <c r="R86" s="185"/>
      <c r="S86" s="185">
        <v>1</v>
      </c>
      <c r="T86" s="185">
        <v>2</v>
      </c>
      <c r="U86" s="185">
        <v>1</v>
      </c>
      <c r="V86" s="185">
        <v>0</v>
      </c>
      <c r="W86" s="185">
        <v>2</v>
      </c>
      <c r="X86" s="185">
        <v>0</v>
      </c>
      <c r="Y86" s="185">
        <v>5</v>
      </c>
      <c r="Z86" s="185">
        <v>0</v>
      </c>
      <c r="AA86" s="185">
        <v>1</v>
      </c>
      <c r="AB86" s="82" t="s">
        <v>290</v>
      </c>
      <c r="AC86" s="52" t="s">
        <v>95</v>
      </c>
      <c r="AD86" s="183">
        <v>1</v>
      </c>
      <c r="AE86" s="114">
        <v>1</v>
      </c>
      <c r="AF86" s="183">
        <v>0</v>
      </c>
      <c r="AG86" s="183">
        <v>0</v>
      </c>
      <c r="AH86" s="183">
        <v>0</v>
      </c>
      <c r="AI86" s="183">
        <v>0</v>
      </c>
      <c r="AJ86" s="183">
        <f t="shared" si="3"/>
        <v>2</v>
      </c>
      <c r="AK86" s="87">
        <v>2022</v>
      </c>
      <c r="AL86" s="10"/>
    </row>
    <row r="87" spans="1:38" s="8" customFormat="1" ht="66" customHeight="1">
      <c r="A87" s="10"/>
      <c r="B87" s="187">
        <v>0</v>
      </c>
      <c r="C87" s="187">
        <v>2</v>
      </c>
      <c r="D87" s="185">
        <v>9</v>
      </c>
      <c r="E87" s="188">
        <v>0</v>
      </c>
      <c r="F87" s="185">
        <v>7</v>
      </c>
      <c r="G87" s="185">
        <v>0</v>
      </c>
      <c r="H87" s="185">
        <v>2</v>
      </c>
      <c r="I87" s="185">
        <v>1</v>
      </c>
      <c r="J87" s="185">
        <v>2</v>
      </c>
      <c r="K87" s="189">
        <v>1</v>
      </c>
      <c r="L87" s="185">
        <v>0</v>
      </c>
      <c r="M87" s="185">
        <v>2</v>
      </c>
      <c r="N87" s="185" t="s">
        <v>75</v>
      </c>
      <c r="O87" s="185">
        <v>8</v>
      </c>
      <c r="P87" s="185">
        <v>0</v>
      </c>
      <c r="Q87" s="185">
        <v>0</v>
      </c>
      <c r="R87" s="185">
        <v>0</v>
      </c>
      <c r="S87" s="185">
        <v>1</v>
      </c>
      <c r="T87" s="185">
        <v>2</v>
      </c>
      <c r="U87" s="185">
        <v>1</v>
      </c>
      <c r="V87" s="185">
        <v>0</v>
      </c>
      <c r="W87" s="185">
        <v>2</v>
      </c>
      <c r="X87" s="185">
        <v>0</v>
      </c>
      <c r="Y87" s="185">
        <v>6</v>
      </c>
      <c r="Z87" s="185">
        <v>0</v>
      </c>
      <c r="AA87" s="185">
        <v>0</v>
      </c>
      <c r="AB87" s="204" t="s">
        <v>291</v>
      </c>
      <c r="AC87" s="131" t="s">
        <v>266</v>
      </c>
      <c r="AD87" s="137">
        <v>34063.33</v>
      </c>
      <c r="AE87" s="137">
        <v>6172.33</v>
      </c>
      <c r="AF87" s="137"/>
      <c r="AG87" s="137"/>
      <c r="AH87" s="137"/>
      <c r="AI87" s="137"/>
      <c r="AJ87" s="137">
        <f t="shared" si="3"/>
        <v>40235.66</v>
      </c>
      <c r="AK87" s="136">
        <v>2022</v>
      </c>
      <c r="AL87" s="10"/>
    </row>
    <row r="88" spans="1:38" s="8" customFormat="1" ht="66" customHeight="1">
      <c r="A88" s="10"/>
      <c r="B88" s="187"/>
      <c r="C88" s="187"/>
      <c r="D88" s="185"/>
      <c r="E88" s="188"/>
      <c r="F88" s="185"/>
      <c r="G88" s="185"/>
      <c r="H88" s="185"/>
      <c r="I88" s="185"/>
      <c r="J88" s="185"/>
      <c r="K88" s="189"/>
      <c r="L88" s="185"/>
      <c r="M88" s="185"/>
      <c r="N88" s="185"/>
      <c r="O88" s="185"/>
      <c r="P88" s="185"/>
      <c r="Q88" s="185"/>
      <c r="R88" s="185"/>
      <c r="S88" s="185">
        <v>1</v>
      </c>
      <c r="T88" s="185">
        <v>2</v>
      </c>
      <c r="U88" s="185">
        <v>1</v>
      </c>
      <c r="V88" s="185">
        <v>0</v>
      </c>
      <c r="W88" s="185">
        <v>2</v>
      </c>
      <c r="X88" s="185">
        <v>0</v>
      </c>
      <c r="Y88" s="185">
        <v>6</v>
      </c>
      <c r="Z88" s="185">
        <v>0</v>
      </c>
      <c r="AA88" s="185">
        <v>1</v>
      </c>
      <c r="AB88" s="82" t="s">
        <v>293</v>
      </c>
      <c r="AC88" s="52" t="s">
        <v>95</v>
      </c>
      <c r="AD88" s="183">
        <v>1</v>
      </c>
      <c r="AE88" s="114">
        <v>1</v>
      </c>
      <c r="AF88" s="183">
        <v>0</v>
      </c>
      <c r="AG88" s="183">
        <v>0</v>
      </c>
      <c r="AH88" s="183">
        <v>0</v>
      </c>
      <c r="AI88" s="183">
        <v>0</v>
      </c>
      <c r="AJ88" s="183">
        <f t="shared" si="3"/>
        <v>2</v>
      </c>
      <c r="AK88" s="87">
        <v>2023</v>
      </c>
      <c r="AL88" s="10"/>
    </row>
    <row r="89" spans="1:38" s="8" customFormat="1" ht="94.5" customHeight="1">
      <c r="A89" s="10"/>
      <c r="B89" s="187">
        <v>0</v>
      </c>
      <c r="C89" s="187">
        <v>2</v>
      </c>
      <c r="D89" s="185">
        <v>9</v>
      </c>
      <c r="E89" s="188">
        <v>0</v>
      </c>
      <c r="F89" s="185">
        <v>7</v>
      </c>
      <c r="G89" s="185">
        <v>0</v>
      </c>
      <c r="H89" s="185">
        <v>2</v>
      </c>
      <c r="I89" s="185">
        <v>1</v>
      </c>
      <c r="J89" s="185">
        <v>2</v>
      </c>
      <c r="K89" s="189">
        <v>1</v>
      </c>
      <c r="L89" s="185">
        <v>0</v>
      </c>
      <c r="M89" s="185">
        <v>2</v>
      </c>
      <c r="N89" s="185">
        <v>1</v>
      </c>
      <c r="O89" s="185">
        <v>0</v>
      </c>
      <c r="P89" s="185">
        <v>9</v>
      </c>
      <c r="Q89" s="185">
        <v>2</v>
      </c>
      <c r="R89" s="185">
        <v>0</v>
      </c>
      <c r="S89" s="185">
        <v>1</v>
      </c>
      <c r="T89" s="185">
        <v>2</v>
      </c>
      <c r="U89" s="185">
        <v>1</v>
      </c>
      <c r="V89" s="185">
        <v>0</v>
      </c>
      <c r="W89" s="185">
        <v>2</v>
      </c>
      <c r="X89" s="185">
        <v>0</v>
      </c>
      <c r="Y89" s="185">
        <v>7</v>
      </c>
      <c r="Z89" s="185">
        <v>0</v>
      </c>
      <c r="AA89" s="185">
        <v>0</v>
      </c>
      <c r="AB89" s="204" t="s">
        <v>295</v>
      </c>
      <c r="AC89" s="131" t="s">
        <v>266</v>
      </c>
      <c r="AD89" s="137">
        <v>300000</v>
      </c>
      <c r="AE89" s="137">
        <v>0</v>
      </c>
      <c r="AF89" s="137">
        <v>0</v>
      </c>
      <c r="AG89" s="137">
        <v>0</v>
      </c>
      <c r="AH89" s="137">
        <v>0</v>
      </c>
      <c r="AI89" s="137">
        <v>0</v>
      </c>
      <c r="AJ89" s="137">
        <f t="shared" si="3"/>
        <v>300000</v>
      </c>
      <c r="AK89" s="136">
        <v>2022</v>
      </c>
      <c r="AL89" s="10"/>
    </row>
    <row r="90" spans="1:38" s="8" customFormat="1" ht="66" customHeight="1">
      <c r="A90" s="10"/>
      <c r="B90" s="187"/>
      <c r="C90" s="187"/>
      <c r="D90" s="185"/>
      <c r="E90" s="188"/>
      <c r="F90" s="185"/>
      <c r="G90" s="185"/>
      <c r="H90" s="185"/>
      <c r="I90" s="185"/>
      <c r="J90" s="185"/>
      <c r="K90" s="189"/>
      <c r="L90" s="185"/>
      <c r="M90" s="185"/>
      <c r="N90" s="185"/>
      <c r="O90" s="185"/>
      <c r="P90" s="185"/>
      <c r="Q90" s="185"/>
      <c r="R90" s="185"/>
      <c r="S90" s="185">
        <v>1</v>
      </c>
      <c r="T90" s="185">
        <v>2</v>
      </c>
      <c r="U90" s="185">
        <v>1</v>
      </c>
      <c r="V90" s="185">
        <v>0</v>
      </c>
      <c r="W90" s="185">
        <v>2</v>
      </c>
      <c r="X90" s="185">
        <v>0</v>
      </c>
      <c r="Y90" s="185">
        <v>7</v>
      </c>
      <c r="Z90" s="185">
        <v>0</v>
      </c>
      <c r="AA90" s="185">
        <v>1</v>
      </c>
      <c r="AB90" s="82" t="s">
        <v>294</v>
      </c>
      <c r="AC90" s="52" t="s">
        <v>95</v>
      </c>
      <c r="AD90" s="183">
        <v>1</v>
      </c>
      <c r="AE90" s="114">
        <v>0</v>
      </c>
      <c r="AF90" s="183">
        <v>0</v>
      </c>
      <c r="AG90" s="183">
        <v>0</v>
      </c>
      <c r="AH90" s="183">
        <v>0</v>
      </c>
      <c r="AI90" s="183">
        <v>0</v>
      </c>
      <c r="AJ90" s="183">
        <f t="shared" si="3"/>
        <v>1</v>
      </c>
      <c r="AK90" s="87">
        <v>2022</v>
      </c>
      <c r="AL90" s="10"/>
    </row>
    <row r="91" spans="1:38" s="8" customFormat="1" ht="90.75" customHeight="1">
      <c r="A91" s="10"/>
      <c r="B91" s="187">
        <v>0</v>
      </c>
      <c r="C91" s="187">
        <v>2</v>
      </c>
      <c r="D91" s="185">
        <v>9</v>
      </c>
      <c r="E91" s="188">
        <v>0</v>
      </c>
      <c r="F91" s="185">
        <v>7</v>
      </c>
      <c r="G91" s="185">
        <v>0</v>
      </c>
      <c r="H91" s="185">
        <v>2</v>
      </c>
      <c r="I91" s="185">
        <v>1</v>
      </c>
      <c r="J91" s="185">
        <v>2</v>
      </c>
      <c r="K91" s="189">
        <v>1</v>
      </c>
      <c r="L91" s="185" t="s">
        <v>305</v>
      </c>
      <c r="M91" s="185">
        <v>2</v>
      </c>
      <c r="N91" s="185">
        <v>5</v>
      </c>
      <c r="O91" s="185">
        <v>0</v>
      </c>
      <c r="P91" s="185">
        <v>9</v>
      </c>
      <c r="Q91" s="185">
        <v>8</v>
      </c>
      <c r="R91" s="185">
        <v>0</v>
      </c>
      <c r="S91" s="185">
        <v>1</v>
      </c>
      <c r="T91" s="185">
        <v>2</v>
      </c>
      <c r="U91" s="185">
        <v>1</v>
      </c>
      <c r="V91" s="185">
        <v>0</v>
      </c>
      <c r="W91" s="185">
        <v>2</v>
      </c>
      <c r="X91" s="185">
        <v>0</v>
      </c>
      <c r="Y91" s="185">
        <v>8</v>
      </c>
      <c r="Z91" s="185">
        <v>0</v>
      </c>
      <c r="AA91" s="185">
        <v>0</v>
      </c>
      <c r="AB91" s="214" t="s">
        <v>306</v>
      </c>
      <c r="AC91" s="131" t="s">
        <v>266</v>
      </c>
      <c r="AD91" s="137">
        <v>0</v>
      </c>
      <c r="AE91" s="137">
        <v>313366</v>
      </c>
      <c r="AF91" s="137">
        <v>104990</v>
      </c>
      <c r="AG91" s="137">
        <v>0</v>
      </c>
      <c r="AH91" s="137">
        <v>0</v>
      </c>
      <c r="AI91" s="137">
        <v>0</v>
      </c>
      <c r="AJ91" s="137">
        <f t="shared" si="3"/>
        <v>418356</v>
      </c>
      <c r="AK91" s="136">
        <v>2024</v>
      </c>
      <c r="AL91" s="10"/>
    </row>
    <row r="92" spans="1:38" s="8" customFormat="1" ht="15">
      <c r="A92" s="10"/>
      <c r="B92" s="187">
        <v>0</v>
      </c>
      <c r="C92" s="187">
        <v>2</v>
      </c>
      <c r="D92" s="185">
        <v>9</v>
      </c>
      <c r="E92" s="188">
        <v>0</v>
      </c>
      <c r="F92" s="185">
        <v>7</v>
      </c>
      <c r="G92" s="185">
        <v>0</v>
      </c>
      <c r="H92" s="185">
        <v>2</v>
      </c>
      <c r="I92" s="185">
        <v>1</v>
      </c>
      <c r="J92" s="185">
        <v>2</v>
      </c>
      <c r="K92" s="189">
        <v>1</v>
      </c>
      <c r="L92" s="185" t="s">
        <v>305</v>
      </c>
      <c r="M92" s="185">
        <v>2</v>
      </c>
      <c r="N92" s="185">
        <v>5</v>
      </c>
      <c r="O92" s="185">
        <v>0</v>
      </c>
      <c r="P92" s="185">
        <v>9</v>
      </c>
      <c r="Q92" s="185">
        <v>8</v>
      </c>
      <c r="R92" s="185">
        <v>0</v>
      </c>
      <c r="S92" s="185">
        <v>1</v>
      </c>
      <c r="T92" s="185">
        <v>2</v>
      </c>
      <c r="U92" s="185">
        <v>1</v>
      </c>
      <c r="V92" s="185">
        <v>0</v>
      </c>
      <c r="W92" s="185">
        <v>2</v>
      </c>
      <c r="X92" s="185">
        <v>0</v>
      </c>
      <c r="Y92" s="185">
        <v>8</v>
      </c>
      <c r="Z92" s="185">
        <v>0</v>
      </c>
      <c r="AA92" s="185">
        <v>0</v>
      </c>
      <c r="AB92" s="215" t="s">
        <v>307</v>
      </c>
      <c r="AC92" s="131" t="s">
        <v>266</v>
      </c>
      <c r="AD92" s="137">
        <v>0</v>
      </c>
      <c r="AE92" s="137">
        <v>1253500</v>
      </c>
      <c r="AF92" s="137">
        <v>0</v>
      </c>
      <c r="AG92" s="137">
        <v>0</v>
      </c>
      <c r="AH92" s="137">
        <v>0</v>
      </c>
      <c r="AI92" s="137">
        <v>0</v>
      </c>
      <c r="AJ92" s="137">
        <f t="shared" si="3"/>
        <v>1253500</v>
      </c>
      <c r="AK92" s="136">
        <v>2024</v>
      </c>
      <c r="AL92" s="10"/>
    </row>
    <row r="93" spans="1:38" s="8" customFormat="1" ht="66" customHeight="1">
      <c r="A93" s="10"/>
      <c r="B93" s="187"/>
      <c r="C93" s="187"/>
      <c r="D93" s="185"/>
      <c r="E93" s="188"/>
      <c r="F93" s="185"/>
      <c r="G93" s="185"/>
      <c r="H93" s="185"/>
      <c r="I93" s="185"/>
      <c r="J93" s="185"/>
      <c r="K93" s="189"/>
      <c r="L93" s="185"/>
      <c r="M93" s="185"/>
      <c r="N93" s="185"/>
      <c r="O93" s="185"/>
      <c r="P93" s="185"/>
      <c r="Q93" s="185"/>
      <c r="R93" s="185"/>
      <c r="S93" s="185">
        <v>1</v>
      </c>
      <c r="T93" s="185">
        <v>2</v>
      </c>
      <c r="U93" s="185">
        <v>1</v>
      </c>
      <c r="V93" s="185">
        <v>0</v>
      </c>
      <c r="W93" s="185">
        <v>2</v>
      </c>
      <c r="X93" s="185">
        <v>0</v>
      </c>
      <c r="Y93" s="185">
        <v>8</v>
      </c>
      <c r="Z93" s="185">
        <v>0</v>
      </c>
      <c r="AA93" s="185">
        <v>1</v>
      </c>
      <c r="AB93" s="82" t="s">
        <v>308</v>
      </c>
      <c r="AC93" s="52" t="s">
        <v>95</v>
      </c>
      <c r="AD93" s="183">
        <v>0</v>
      </c>
      <c r="AE93" s="114">
        <v>1</v>
      </c>
      <c r="AF93" s="183">
        <v>0</v>
      </c>
      <c r="AG93" s="183">
        <v>0</v>
      </c>
      <c r="AH93" s="183">
        <v>0</v>
      </c>
      <c r="AI93" s="183">
        <v>0</v>
      </c>
      <c r="AJ93" s="183">
        <f t="shared" si="3"/>
        <v>1</v>
      </c>
      <c r="AK93" s="87">
        <v>2023</v>
      </c>
      <c r="AL93" s="10"/>
    </row>
    <row r="94" spans="1:38" s="8" customFormat="1" ht="114" customHeight="1">
      <c r="A94" s="10"/>
      <c r="B94" s="187"/>
      <c r="C94" s="187"/>
      <c r="D94" s="185"/>
      <c r="E94" s="188"/>
      <c r="F94" s="185"/>
      <c r="G94" s="185"/>
      <c r="H94" s="185"/>
      <c r="I94" s="185"/>
      <c r="J94" s="185"/>
      <c r="K94" s="189"/>
      <c r="L94" s="185"/>
      <c r="M94" s="185"/>
      <c r="N94" s="185"/>
      <c r="O94" s="185"/>
      <c r="P94" s="185"/>
      <c r="Q94" s="185"/>
      <c r="R94" s="185"/>
      <c r="S94" s="185">
        <v>1</v>
      </c>
      <c r="T94" s="185">
        <v>2</v>
      </c>
      <c r="U94" s="185">
        <v>1</v>
      </c>
      <c r="V94" s="185">
        <v>0</v>
      </c>
      <c r="W94" s="185">
        <v>2</v>
      </c>
      <c r="X94" s="185">
        <v>0</v>
      </c>
      <c r="Y94" s="185">
        <v>8</v>
      </c>
      <c r="Z94" s="185">
        <v>0</v>
      </c>
      <c r="AA94" s="185">
        <v>2</v>
      </c>
      <c r="AB94" s="82" t="s">
        <v>320</v>
      </c>
      <c r="AC94" s="52" t="s">
        <v>94</v>
      </c>
      <c r="AD94" s="178">
        <v>0</v>
      </c>
      <c r="AE94" s="179">
        <v>30.8</v>
      </c>
      <c r="AF94" s="178">
        <v>0</v>
      </c>
      <c r="AG94" s="178">
        <v>0</v>
      </c>
      <c r="AH94" s="178"/>
      <c r="AI94" s="178"/>
      <c r="AJ94" s="178">
        <v>30.8</v>
      </c>
      <c r="AK94" s="87">
        <v>2023</v>
      </c>
      <c r="AL94" s="10"/>
    </row>
    <row r="95" spans="1:38" s="8" customFormat="1" ht="77.25" customHeight="1">
      <c r="A95" s="10"/>
      <c r="B95" s="190"/>
      <c r="C95" s="190"/>
      <c r="D95" s="90"/>
      <c r="E95" s="191"/>
      <c r="F95" s="90"/>
      <c r="G95" s="90"/>
      <c r="H95" s="90"/>
      <c r="I95" s="90"/>
      <c r="J95" s="90"/>
      <c r="K95" s="192"/>
      <c r="L95" s="185"/>
      <c r="M95" s="185"/>
      <c r="N95" s="193"/>
      <c r="O95" s="193"/>
      <c r="P95" s="185"/>
      <c r="Q95" s="185"/>
      <c r="R95" s="185"/>
      <c r="S95" s="185">
        <v>1</v>
      </c>
      <c r="T95" s="185">
        <v>2</v>
      </c>
      <c r="U95" s="185">
        <v>1</v>
      </c>
      <c r="V95" s="185">
        <v>0</v>
      </c>
      <c r="W95" s="185">
        <v>3</v>
      </c>
      <c r="X95" s="185">
        <v>0</v>
      </c>
      <c r="Y95" s="185">
        <v>0</v>
      </c>
      <c r="Z95" s="185">
        <v>0</v>
      </c>
      <c r="AA95" s="185">
        <v>0</v>
      </c>
      <c r="AB95" s="127" t="s">
        <v>99</v>
      </c>
      <c r="AC95" s="128"/>
      <c r="AD95" s="212">
        <f aca="true" t="shared" si="4" ref="AD95:AI95">AD99+AD104+AD106+AD112+AD114+AD116</f>
        <v>31773612.759999998</v>
      </c>
      <c r="AE95" s="212">
        <f t="shared" si="4"/>
        <v>33062592.55</v>
      </c>
      <c r="AF95" s="212">
        <f t="shared" si="4"/>
        <v>35614481.82</v>
      </c>
      <c r="AG95" s="212">
        <f t="shared" si="4"/>
        <v>34839241.83</v>
      </c>
      <c r="AH95" s="212">
        <f t="shared" si="4"/>
        <v>34108686.83</v>
      </c>
      <c r="AI95" s="212">
        <f t="shared" si="4"/>
        <v>31225073.1</v>
      </c>
      <c r="AJ95" s="212">
        <f>SUM(AD95:AI95)</f>
        <v>200623688.88999996</v>
      </c>
      <c r="AK95" s="121">
        <v>2027</v>
      </c>
      <c r="AL95" s="10"/>
    </row>
    <row r="96" spans="1:38" s="8" customFormat="1" ht="90">
      <c r="A96" s="10"/>
      <c r="B96" s="185"/>
      <c r="C96" s="185"/>
      <c r="D96" s="185"/>
      <c r="E96" s="185"/>
      <c r="F96" s="185"/>
      <c r="G96" s="185"/>
      <c r="H96" s="185"/>
      <c r="I96" s="185"/>
      <c r="J96" s="185"/>
      <c r="K96" s="185"/>
      <c r="L96" s="185"/>
      <c r="M96" s="185"/>
      <c r="N96" s="185"/>
      <c r="O96" s="185"/>
      <c r="P96" s="185"/>
      <c r="Q96" s="185"/>
      <c r="R96" s="185"/>
      <c r="S96" s="185">
        <v>1</v>
      </c>
      <c r="T96" s="185">
        <v>2</v>
      </c>
      <c r="U96" s="185">
        <v>1</v>
      </c>
      <c r="V96" s="185">
        <v>0</v>
      </c>
      <c r="W96" s="185">
        <v>3</v>
      </c>
      <c r="X96" s="185">
        <v>0</v>
      </c>
      <c r="Y96" s="185">
        <v>0</v>
      </c>
      <c r="Z96" s="185">
        <v>0</v>
      </c>
      <c r="AA96" s="185">
        <v>1</v>
      </c>
      <c r="AB96" s="77" t="s">
        <v>100</v>
      </c>
      <c r="AC96" s="36" t="s">
        <v>94</v>
      </c>
      <c r="AD96" s="37">
        <v>100</v>
      </c>
      <c r="AE96" s="37">
        <v>100</v>
      </c>
      <c r="AF96" s="37">
        <v>100</v>
      </c>
      <c r="AG96" s="37">
        <v>100</v>
      </c>
      <c r="AH96" s="37">
        <v>100</v>
      </c>
      <c r="AI96" s="37">
        <v>100</v>
      </c>
      <c r="AJ96" s="37">
        <v>100</v>
      </c>
      <c r="AK96" s="49">
        <v>2027</v>
      </c>
      <c r="AL96" s="10"/>
    </row>
    <row r="97" spans="1:38" s="8" customFormat="1" ht="45">
      <c r="A97" s="10"/>
      <c r="B97" s="185"/>
      <c r="C97" s="185"/>
      <c r="D97" s="185"/>
      <c r="E97" s="185"/>
      <c r="F97" s="185"/>
      <c r="G97" s="185"/>
      <c r="H97" s="185"/>
      <c r="I97" s="185"/>
      <c r="J97" s="185"/>
      <c r="K97" s="185"/>
      <c r="L97" s="185"/>
      <c r="M97" s="185"/>
      <c r="N97" s="185"/>
      <c r="O97" s="185"/>
      <c r="P97" s="185"/>
      <c r="Q97" s="185"/>
      <c r="R97" s="185"/>
      <c r="S97" s="185">
        <v>1</v>
      </c>
      <c r="T97" s="185">
        <v>2</v>
      </c>
      <c r="U97" s="185">
        <v>1</v>
      </c>
      <c r="V97" s="185">
        <v>0</v>
      </c>
      <c r="W97" s="185">
        <v>3</v>
      </c>
      <c r="X97" s="185">
        <v>0</v>
      </c>
      <c r="Y97" s="185">
        <v>0</v>
      </c>
      <c r="Z97" s="185">
        <v>0</v>
      </c>
      <c r="AA97" s="185">
        <v>2</v>
      </c>
      <c r="AB97" s="80" t="s">
        <v>145</v>
      </c>
      <c r="AC97" s="164" t="s">
        <v>95</v>
      </c>
      <c r="AD97" s="97">
        <v>1</v>
      </c>
      <c r="AE97" s="97">
        <v>1</v>
      </c>
      <c r="AF97" s="97">
        <v>1</v>
      </c>
      <c r="AG97" s="97">
        <v>1</v>
      </c>
      <c r="AH97" s="97">
        <v>1</v>
      </c>
      <c r="AI97" s="97">
        <v>1</v>
      </c>
      <c r="AJ97" s="122">
        <f>SUM(AD97:AI97)</f>
        <v>6</v>
      </c>
      <c r="AK97" s="87">
        <v>2027</v>
      </c>
      <c r="AL97" s="10"/>
    </row>
    <row r="98" spans="1:38" s="8" customFormat="1" ht="45">
      <c r="A98" s="10"/>
      <c r="B98" s="185"/>
      <c r="C98" s="185"/>
      <c r="D98" s="185"/>
      <c r="E98" s="185"/>
      <c r="F98" s="185"/>
      <c r="G98" s="185"/>
      <c r="H98" s="185"/>
      <c r="I98" s="185"/>
      <c r="J98" s="185"/>
      <c r="K98" s="185"/>
      <c r="L98" s="185"/>
      <c r="M98" s="185"/>
      <c r="N98" s="185"/>
      <c r="O98" s="185"/>
      <c r="P98" s="185"/>
      <c r="Q98" s="185"/>
      <c r="R98" s="185"/>
      <c r="S98" s="185">
        <v>1</v>
      </c>
      <c r="T98" s="185">
        <v>2</v>
      </c>
      <c r="U98" s="185">
        <v>1</v>
      </c>
      <c r="V98" s="185">
        <v>0</v>
      </c>
      <c r="W98" s="185">
        <v>3</v>
      </c>
      <c r="X98" s="185">
        <v>0</v>
      </c>
      <c r="Y98" s="185">
        <v>0</v>
      </c>
      <c r="Z98" s="185">
        <v>0</v>
      </c>
      <c r="AA98" s="185">
        <v>3</v>
      </c>
      <c r="AB98" s="66" t="s">
        <v>146</v>
      </c>
      <c r="AC98" s="36" t="s">
        <v>95</v>
      </c>
      <c r="AD98" s="37">
        <v>1</v>
      </c>
      <c r="AE98" s="37">
        <v>1</v>
      </c>
      <c r="AF98" s="37">
        <v>1</v>
      </c>
      <c r="AG98" s="37">
        <v>1</v>
      </c>
      <c r="AH98" s="37">
        <v>1</v>
      </c>
      <c r="AI98" s="37">
        <v>1</v>
      </c>
      <c r="AJ98" s="58">
        <f>SUM(AD98:AI98)</f>
        <v>6</v>
      </c>
      <c r="AK98" s="49">
        <v>2027</v>
      </c>
      <c r="AL98" s="10"/>
    </row>
    <row r="99" spans="1:38" s="8" customFormat="1" ht="120" customHeight="1">
      <c r="A99" s="10"/>
      <c r="B99" s="185">
        <f>B99:AE1012</f>
        <v>0</v>
      </c>
      <c r="C99" s="185">
        <v>2</v>
      </c>
      <c r="D99" s="185">
        <v>9</v>
      </c>
      <c r="E99" s="185">
        <v>0</v>
      </c>
      <c r="F99" s="185">
        <v>7</v>
      </c>
      <c r="G99" s="185">
        <v>0</v>
      </c>
      <c r="H99" s="185">
        <v>9</v>
      </c>
      <c r="I99" s="185">
        <v>1</v>
      </c>
      <c r="J99" s="185">
        <v>2</v>
      </c>
      <c r="K99" s="185">
        <v>1</v>
      </c>
      <c r="L99" s="185">
        <v>0</v>
      </c>
      <c r="M99" s="185">
        <v>3</v>
      </c>
      <c r="N99" s="185" t="s">
        <v>75</v>
      </c>
      <c r="O99" s="185">
        <v>0</v>
      </c>
      <c r="P99" s="185">
        <v>2</v>
      </c>
      <c r="Q99" s="185">
        <v>5</v>
      </c>
      <c r="R99" s="185" t="s">
        <v>73</v>
      </c>
      <c r="S99" s="185">
        <v>1</v>
      </c>
      <c r="T99" s="185">
        <v>2</v>
      </c>
      <c r="U99" s="185">
        <v>1</v>
      </c>
      <c r="V99" s="185">
        <v>0</v>
      </c>
      <c r="W99" s="185">
        <v>3</v>
      </c>
      <c r="X99" s="185">
        <v>0</v>
      </c>
      <c r="Y99" s="185">
        <v>1</v>
      </c>
      <c r="Z99" s="185">
        <v>0</v>
      </c>
      <c r="AA99" s="185">
        <v>0</v>
      </c>
      <c r="AB99" s="148" t="s">
        <v>205</v>
      </c>
      <c r="AC99" s="131" t="s">
        <v>96</v>
      </c>
      <c r="AD99" s="137">
        <f>14499388.1+13310+25820.69+189756</f>
        <v>14728274.79</v>
      </c>
      <c r="AE99" s="137">
        <f>14499388.1+300000+350000</f>
        <v>15149388.1</v>
      </c>
      <c r="AF99" s="137">
        <f>14499388.1+1904726.72</f>
        <v>16404114.82</v>
      </c>
      <c r="AG99" s="137">
        <f>14499388.1+1415375.73</f>
        <v>15914763.83</v>
      </c>
      <c r="AH99" s="137">
        <f>14499388.1+915375.73</f>
        <v>15414763.83</v>
      </c>
      <c r="AI99" s="137">
        <v>14499388.1</v>
      </c>
      <c r="AJ99" s="137">
        <f>SUM(AD99:AI99)</f>
        <v>92110693.47</v>
      </c>
      <c r="AK99" s="136">
        <v>2027</v>
      </c>
      <c r="AL99" s="10"/>
    </row>
    <row r="100" spans="1:38" s="8" customFormat="1" ht="59.25">
      <c r="A100" s="10"/>
      <c r="B100" s="185"/>
      <c r="C100" s="185"/>
      <c r="D100" s="185"/>
      <c r="E100" s="185"/>
      <c r="F100" s="185"/>
      <c r="G100" s="185"/>
      <c r="H100" s="185"/>
      <c r="I100" s="185"/>
      <c r="J100" s="185"/>
      <c r="K100" s="185"/>
      <c r="L100" s="185"/>
      <c r="M100" s="185"/>
      <c r="N100" s="185"/>
      <c r="O100" s="185"/>
      <c r="P100" s="185"/>
      <c r="Q100" s="185"/>
      <c r="R100" s="185"/>
      <c r="S100" s="185">
        <v>1</v>
      </c>
      <c r="T100" s="185">
        <v>2</v>
      </c>
      <c r="U100" s="185">
        <v>1</v>
      </c>
      <c r="V100" s="185">
        <v>0</v>
      </c>
      <c r="W100" s="185">
        <v>3</v>
      </c>
      <c r="X100" s="185">
        <v>0</v>
      </c>
      <c r="Y100" s="185">
        <v>1</v>
      </c>
      <c r="Z100" s="185">
        <v>0</v>
      </c>
      <c r="AA100" s="185">
        <v>1</v>
      </c>
      <c r="AB100" s="66" t="s">
        <v>206</v>
      </c>
      <c r="AC100" s="50" t="s">
        <v>96</v>
      </c>
      <c r="AD100" s="98">
        <f aca="true" t="shared" si="5" ref="AD100:AJ100">AD99/255</f>
        <v>57757.94035294117</v>
      </c>
      <c r="AE100" s="98">
        <f t="shared" si="5"/>
        <v>59409.36509803921</v>
      </c>
      <c r="AF100" s="98">
        <f t="shared" si="5"/>
        <v>64329.86203921569</v>
      </c>
      <c r="AG100" s="98">
        <f t="shared" si="5"/>
        <v>62410.83854901961</v>
      </c>
      <c r="AH100" s="98">
        <f t="shared" si="5"/>
        <v>60450.05423529412</v>
      </c>
      <c r="AI100" s="98">
        <f t="shared" si="5"/>
        <v>56860.34549019608</v>
      </c>
      <c r="AJ100" s="98">
        <f t="shared" si="5"/>
        <v>361218.40576470585</v>
      </c>
      <c r="AK100" s="49">
        <v>2027</v>
      </c>
      <c r="AL100" s="10"/>
    </row>
    <row r="101" spans="1:38" s="8" customFormat="1" ht="89.25">
      <c r="A101" s="10"/>
      <c r="B101" s="185"/>
      <c r="C101" s="185"/>
      <c r="D101" s="185"/>
      <c r="E101" s="185"/>
      <c r="F101" s="185"/>
      <c r="G101" s="185"/>
      <c r="H101" s="185"/>
      <c r="I101" s="185"/>
      <c r="J101" s="185"/>
      <c r="K101" s="185"/>
      <c r="L101" s="185"/>
      <c r="M101" s="185"/>
      <c r="N101" s="185"/>
      <c r="O101" s="185"/>
      <c r="P101" s="185"/>
      <c r="Q101" s="185"/>
      <c r="R101" s="185"/>
      <c r="S101" s="185">
        <v>1</v>
      </c>
      <c r="T101" s="185">
        <v>2</v>
      </c>
      <c r="U101" s="185">
        <v>1</v>
      </c>
      <c r="V101" s="185">
        <v>0</v>
      </c>
      <c r="W101" s="185">
        <v>3</v>
      </c>
      <c r="X101" s="185">
        <v>0</v>
      </c>
      <c r="Y101" s="185">
        <v>1</v>
      </c>
      <c r="Z101" s="185">
        <v>0</v>
      </c>
      <c r="AA101" s="185">
        <v>2</v>
      </c>
      <c r="AB101" s="66" t="s">
        <v>207</v>
      </c>
      <c r="AC101" s="50" t="s">
        <v>94</v>
      </c>
      <c r="AD101" s="99">
        <v>100</v>
      </c>
      <c r="AE101" s="100">
        <v>100</v>
      </c>
      <c r="AF101" s="100">
        <v>100</v>
      </c>
      <c r="AG101" s="99">
        <v>100</v>
      </c>
      <c r="AH101" s="99">
        <v>100</v>
      </c>
      <c r="AI101" s="99">
        <v>100</v>
      </c>
      <c r="AJ101" s="51">
        <v>100</v>
      </c>
      <c r="AK101" s="49">
        <v>2027</v>
      </c>
      <c r="AL101" s="10"/>
    </row>
    <row r="102" spans="1:38" s="8" customFormat="1" ht="124.5" customHeight="1">
      <c r="A102" s="10"/>
      <c r="B102" s="185"/>
      <c r="C102" s="185"/>
      <c r="D102" s="185"/>
      <c r="E102" s="185"/>
      <c r="F102" s="185"/>
      <c r="G102" s="185"/>
      <c r="H102" s="185"/>
      <c r="I102" s="185"/>
      <c r="J102" s="185"/>
      <c r="K102" s="185"/>
      <c r="L102" s="185"/>
      <c r="M102" s="185"/>
      <c r="N102" s="185"/>
      <c r="O102" s="185"/>
      <c r="P102" s="185"/>
      <c r="Q102" s="185"/>
      <c r="R102" s="185"/>
      <c r="S102" s="185">
        <v>1</v>
      </c>
      <c r="T102" s="185">
        <v>2</v>
      </c>
      <c r="U102" s="185">
        <v>1</v>
      </c>
      <c r="V102" s="185">
        <v>0</v>
      </c>
      <c r="W102" s="185">
        <v>3</v>
      </c>
      <c r="X102" s="185">
        <v>0</v>
      </c>
      <c r="Y102" s="185">
        <v>1</v>
      </c>
      <c r="Z102" s="185">
        <v>0</v>
      </c>
      <c r="AA102" s="185">
        <v>3</v>
      </c>
      <c r="AB102" s="66" t="s">
        <v>208</v>
      </c>
      <c r="AC102" s="50" t="s">
        <v>94</v>
      </c>
      <c r="AD102" s="99">
        <v>100</v>
      </c>
      <c r="AE102" s="100">
        <v>100</v>
      </c>
      <c r="AF102" s="100">
        <v>100</v>
      </c>
      <c r="AG102" s="99">
        <v>100</v>
      </c>
      <c r="AH102" s="99">
        <v>100</v>
      </c>
      <c r="AI102" s="99">
        <v>100</v>
      </c>
      <c r="AJ102" s="51">
        <v>100</v>
      </c>
      <c r="AK102" s="49">
        <v>2027</v>
      </c>
      <c r="AL102" s="10"/>
    </row>
    <row r="103" spans="1:38" s="8" customFormat="1" ht="104.25">
      <c r="A103" s="10"/>
      <c r="B103" s="185"/>
      <c r="C103" s="185"/>
      <c r="D103" s="185"/>
      <c r="E103" s="185"/>
      <c r="F103" s="185"/>
      <c r="G103" s="185"/>
      <c r="H103" s="185"/>
      <c r="I103" s="185"/>
      <c r="J103" s="185"/>
      <c r="K103" s="185"/>
      <c r="L103" s="185"/>
      <c r="M103" s="185"/>
      <c r="N103" s="185"/>
      <c r="O103" s="185"/>
      <c r="P103" s="185"/>
      <c r="Q103" s="185"/>
      <c r="R103" s="185"/>
      <c r="S103" s="185">
        <v>1</v>
      </c>
      <c r="T103" s="185">
        <v>2</v>
      </c>
      <c r="U103" s="185">
        <v>1</v>
      </c>
      <c r="V103" s="185">
        <v>0</v>
      </c>
      <c r="W103" s="185">
        <v>3</v>
      </c>
      <c r="X103" s="185">
        <v>0</v>
      </c>
      <c r="Y103" s="185">
        <v>1</v>
      </c>
      <c r="Z103" s="185">
        <v>0</v>
      </c>
      <c r="AA103" s="185">
        <v>4</v>
      </c>
      <c r="AB103" s="66" t="s">
        <v>209</v>
      </c>
      <c r="AC103" s="50" t="s">
        <v>94</v>
      </c>
      <c r="AD103" s="99">
        <v>100</v>
      </c>
      <c r="AE103" s="100">
        <v>100</v>
      </c>
      <c r="AF103" s="100">
        <v>100</v>
      </c>
      <c r="AG103" s="99">
        <v>100</v>
      </c>
      <c r="AH103" s="99">
        <v>100</v>
      </c>
      <c r="AI103" s="99">
        <v>100</v>
      </c>
      <c r="AJ103" s="51">
        <v>100</v>
      </c>
      <c r="AK103" s="49">
        <v>2027</v>
      </c>
      <c r="AL103" s="10"/>
    </row>
    <row r="104" spans="1:38" s="8" customFormat="1" ht="126.75" customHeight="1">
      <c r="A104" s="10"/>
      <c r="B104" s="185">
        <v>0</v>
      </c>
      <c r="C104" s="185">
        <v>2</v>
      </c>
      <c r="D104" s="185">
        <v>9</v>
      </c>
      <c r="E104" s="185">
        <v>0</v>
      </c>
      <c r="F104" s="185">
        <v>7</v>
      </c>
      <c r="G104" s="185">
        <v>0</v>
      </c>
      <c r="H104" s="185">
        <v>9</v>
      </c>
      <c r="I104" s="185">
        <v>1</v>
      </c>
      <c r="J104" s="185">
        <v>2</v>
      </c>
      <c r="K104" s="185">
        <v>1</v>
      </c>
      <c r="L104" s="185">
        <v>0</v>
      </c>
      <c r="M104" s="185">
        <v>3</v>
      </c>
      <c r="N104" s="185">
        <v>1</v>
      </c>
      <c r="O104" s="185">
        <v>0</v>
      </c>
      <c r="P104" s="185">
        <v>2</v>
      </c>
      <c r="Q104" s="185">
        <v>5</v>
      </c>
      <c r="R104" s="185" t="s">
        <v>73</v>
      </c>
      <c r="S104" s="185">
        <v>1</v>
      </c>
      <c r="T104" s="185">
        <v>2</v>
      </c>
      <c r="U104" s="185">
        <v>1</v>
      </c>
      <c r="V104" s="185">
        <v>0</v>
      </c>
      <c r="W104" s="185">
        <v>3</v>
      </c>
      <c r="X104" s="185">
        <v>0</v>
      </c>
      <c r="Y104" s="185">
        <v>2</v>
      </c>
      <c r="Z104" s="185">
        <v>0</v>
      </c>
      <c r="AA104" s="185">
        <v>0</v>
      </c>
      <c r="AB104" s="149" t="s">
        <v>210</v>
      </c>
      <c r="AC104" s="131" t="s">
        <v>96</v>
      </c>
      <c r="AD104" s="137">
        <v>5691900</v>
      </c>
      <c r="AE104" s="137">
        <v>4954300</v>
      </c>
      <c r="AF104" s="137">
        <f>4954300+305600</f>
        <v>5259900</v>
      </c>
      <c r="AG104" s="137">
        <f>4954300+305600</f>
        <v>5259900</v>
      </c>
      <c r="AH104" s="137">
        <f>5691900-432000</f>
        <v>5259900</v>
      </c>
      <c r="AI104" s="137">
        <v>5691900</v>
      </c>
      <c r="AJ104" s="138">
        <f>SUM(AD104:AI104)</f>
        <v>32117800</v>
      </c>
      <c r="AK104" s="136">
        <v>2027</v>
      </c>
      <c r="AL104" s="10"/>
    </row>
    <row r="105" spans="1:38" s="8" customFormat="1" ht="44.25">
      <c r="A105" s="10"/>
      <c r="B105" s="185"/>
      <c r="C105" s="185"/>
      <c r="D105" s="185"/>
      <c r="E105" s="185"/>
      <c r="F105" s="185"/>
      <c r="G105" s="185"/>
      <c r="H105" s="185"/>
      <c r="I105" s="185"/>
      <c r="J105" s="185"/>
      <c r="K105" s="185"/>
      <c r="L105" s="185"/>
      <c r="M105" s="185"/>
      <c r="N105" s="185"/>
      <c r="O105" s="185"/>
      <c r="P105" s="185"/>
      <c r="Q105" s="185"/>
      <c r="R105" s="185"/>
      <c r="S105" s="185">
        <v>1</v>
      </c>
      <c r="T105" s="185">
        <v>2</v>
      </c>
      <c r="U105" s="185">
        <v>1</v>
      </c>
      <c r="V105" s="185">
        <v>0</v>
      </c>
      <c r="W105" s="185">
        <v>3</v>
      </c>
      <c r="X105" s="185">
        <v>0</v>
      </c>
      <c r="Y105" s="185">
        <v>2</v>
      </c>
      <c r="Z105" s="185">
        <v>0</v>
      </c>
      <c r="AA105" s="185">
        <v>1</v>
      </c>
      <c r="AB105" s="66" t="s">
        <v>211</v>
      </c>
      <c r="AC105" s="50" t="s">
        <v>94</v>
      </c>
      <c r="AD105" s="37">
        <v>11.3</v>
      </c>
      <c r="AE105" s="37">
        <v>11.3</v>
      </c>
      <c r="AF105" s="37">
        <v>11.3</v>
      </c>
      <c r="AG105" s="37">
        <v>11.3</v>
      </c>
      <c r="AH105" s="37">
        <v>11.3</v>
      </c>
      <c r="AI105" s="37">
        <v>11.3</v>
      </c>
      <c r="AJ105" s="122">
        <f>SUM(AD105:AI105)</f>
        <v>67.8</v>
      </c>
      <c r="AK105" s="87">
        <v>2027</v>
      </c>
      <c r="AL105" s="10"/>
    </row>
    <row r="106" spans="1:38" s="8" customFormat="1" ht="36" customHeight="1">
      <c r="A106" s="10"/>
      <c r="B106" s="185"/>
      <c r="C106" s="185"/>
      <c r="D106" s="185"/>
      <c r="E106" s="185"/>
      <c r="F106" s="185"/>
      <c r="G106" s="185"/>
      <c r="H106" s="185"/>
      <c r="I106" s="185"/>
      <c r="J106" s="185"/>
      <c r="K106" s="185"/>
      <c r="L106" s="185"/>
      <c r="M106" s="185"/>
      <c r="N106" s="185"/>
      <c r="O106" s="185"/>
      <c r="P106" s="185"/>
      <c r="Q106" s="185"/>
      <c r="R106" s="185"/>
      <c r="S106" s="185">
        <v>1</v>
      </c>
      <c r="T106" s="185">
        <v>2</v>
      </c>
      <c r="U106" s="185">
        <v>1</v>
      </c>
      <c r="V106" s="185">
        <v>0</v>
      </c>
      <c r="W106" s="185">
        <v>3</v>
      </c>
      <c r="X106" s="185">
        <v>0</v>
      </c>
      <c r="Y106" s="185">
        <v>3</v>
      </c>
      <c r="Z106" s="185">
        <v>0</v>
      </c>
      <c r="AA106" s="185">
        <v>0</v>
      </c>
      <c r="AB106" s="145" t="s">
        <v>193</v>
      </c>
      <c r="AC106" s="131"/>
      <c r="AD106" s="134"/>
      <c r="AE106" s="134"/>
      <c r="AF106" s="134"/>
      <c r="AG106" s="134"/>
      <c r="AH106" s="134"/>
      <c r="AI106" s="134"/>
      <c r="AJ106" s="147"/>
      <c r="AK106" s="136"/>
      <c r="AL106" s="10"/>
    </row>
    <row r="107" spans="1:38" s="8" customFormat="1" ht="43.5" customHeight="1">
      <c r="A107" s="10"/>
      <c r="B107" s="185"/>
      <c r="C107" s="185"/>
      <c r="D107" s="185"/>
      <c r="E107" s="185"/>
      <c r="F107" s="185"/>
      <c r="G107" s="185"/>
      <c r="H107" s="185"/>
      <c r="I107" s="185"/>
      <c r="J107" s="185"/>
      <c r="K107" s="185"/>
      <c r="L107" s="185"/>
      <c r="M107" s="185"/>
      <c r="N107" s="185"/>
      <c r="O107" s="185"/>
      <c r="P107" s="185"/>
      <c r="Q107" s="185"/>
      <c r="R107" s="185"/>
      <c r="S107" s="185">
        <v>1</v>
      </c>
      <c r="T107" s="185">
        <v>2</v>
      </c>
      <c r="U107" s="185">
        <v>1</v>
      </c>
      <c r="V107" s="185">
        <v>0</v>
      </c>
      <c r="W107" s="185">
        <v>3</v>
      </c>
      <c r="X107" s="185">
        <v>0</v>
      </c>
      <c r="Y107" s="185">
        <v>3</v>
      </c>
      <c r="Z107" s="185">
        <v>0</v>
      </c>
      <c r="AA107" s="185">
        <v>1</v>
      </c>
      <c r="AB107" s="66" t="s">
        <v>194</v>
      </c>
      <c r="AC107" s="50" t="s">
        <v>95</v>
      </c>
      <c r="AD107" s="37">
        <v>1</v>
      </c>
      <c r="AE107" s="97">
        <v>1</v>
      </c>
      <c r="AF107" s="37">
        <v>1</v>
      </c>
      <c r="AG107" s="37">
        <v>1</v>
      </c>
      <c r="AH107" s="37">
        <v>1</v>
      </c>
      <c r="AI107" s="37">
        <v>1</v>
      </c>
      <c r="AJ107" s="58">
        <f>SUM(AD107:AI107)</f>
        <v>6</v>
      </c>
      <c r="AK107" s="37">
        <v>2027</v>
      </c>
      <c r="AL107" s="10"/>
    </row>
    <row r="108" spans="1:38" s="8" customFormat="1" ht="63" customHeight="1">
      <c r="A108" s="10"/>
      <c r="B108" s="185"/>
      <c r="C108" s="185"/>
      <c r="D108" s="185"/>
      <c r="E108" s="185"/>
      <c r="F108" s="185"/>
      <c r="G108" s="185"/>
      <c r="H108" s="185"/>
      <c r="I108" s="185"/>
      <c r="J108" s="185"/>
      <c r="K108" s="185"/>
      <c r="L108" s="185"/>
      <c r="M108" s="185"/>
      <c r="N108" s="185"/>
      <c r="O108" s="185"/>
      <c r="P108" s="185"/>
      <c r="Q108" s="185"/>
      <c r="R108" s="185"/>
      <c r="S108" s="185">
        <v>1</v>
      </c>
      <c r="T108" s="185">
        <v>2</v>
      </c>
      <c r="U108" s="185">
        <v>1</v>
      </c>
      <c r="V108" s="185">
        <v>0</v>
      </c>
      <c r="W108" s="185">
        <v>4</v>
      </c>
      <c r="X108" s="185">
        <v>0</v>
      </c>
      <c r="Y108" s="185">
        <v>0</v>
      </c>
      <c r="Z108" s="185">
        <v>0</v>
      </c>
      <c r="AA108" s="185">
        <v>0</v>
      </c>
      <c r="AB108" s="127" t="s">
        <v>77</v>
      </c>
      <c r="AC108" s="144"/>
      <c r="AD108" s="213">
        <f aca="true" t="shared" si="6" ref="AD108:AI108">AD112+AD114+AD116</f>
        <v>11353437.97</v>
      </c>
      <c r="AE108" s="213">
        <f t="shared" si="6"/>
        <v>12958904.450000001</v>
      </c>
      <c r="AF108" s="213">
        <f t="shared" si="6"/>
        <v>13950467</v>
      </c>
      <c r="AG108" s="213">
        <f t="shared" si="6"/>
        <v>13664578</v>
      </c>
      <c r="AH108" s="213">
        <f t="shared" si="6"/>
        <v>13434023</v>
      </c>
      <c r="AI108" s="213">
        <f t="shared" si="6"/>
        <v>11033785</v>
      </c>
      <c r="AJ108" s="212">
        <f>SUM(AD108:AI108)</f>
        <v>76395195.42</v>
      </c>
      <c r="AK108" s="129">
        <v>2027</v>
      </c>
      <c r="AL108" s="10"/>
    </row>
    <row r="109" spans="1:69" s="8" customFormat="1" ht="30" customHeight="1">
      <c r="A109" s="10"/>
      <c r="B109" s="185"/>
      <c r="C109" s="185"/>
      <c r="D109" s="185"/>
      <c r="E109" s="185"/>
      <c r="F109" s="185"/>
      <c r="G109" s="185"/>
      <c r="H109" s="185"/>
      <c r="I109" s="185"/>
      <c r="J109" s="185"/>
      <c r="K109" s="185"/>
      <c r="L109" s="185"/>
      <c r="M109" s="185"/>
      <c r="N109" s="185"/>
      <c r="O109" s="185"/>
      <c r="P109" s="185"/>
      <c r="Q109" s="185"/>
      <c r="R109" s="185"/>
      <c r="S109" s="185">
        <v>1</v>
      </c>
      <c r="T109" s="185">
        <v>2</v>
      </c>
      <c r="U109" s="185">
        <v>1</v>
      </c>
      <c r="V109" s="185">
        <v>0</v>
      </c>
      <c r="W109" s="185">
        <v>4</v>
      </c>
      <c r="X109" s="185">
        <v>0</v>
      </c>
      <c r="Y109" s="185">
        <v>0</v>
      </c>
      <c r="Z109" s="185">
        <v>0</v>
      </c>
      <c r="AA109" s="185">
        <v>1</v>
      </c>
      <c r="AB109" s="82" t="s">
        <v>147</v>
      </c>
      <c r="AC109" s="164" t="s">
        <v>94</v>
      </c>
      <c r="AD109" s="87">
        <v>79</v>
      </c>
      <c r="AE109" s="87">
        <v>79</v>
      </c>
      <c r="AF109" s="87">
        <v>79</v>
      </c>
      <c r="AG109" s="87">
        <v>79</v>
      </c>
      <c r="AH109" s="87">
        <v>79</v>
      </c>
      <c r="AI109" s="87">
        <v>79</v>
      </c>
      <c r="AJ109" s="87">
        <f>SUM(AD109:AI109)</f>
        <v>474</v>
      </c>
      <c r="AK109" s="97">
        <v>2027</v>
      </c>
      <c r="AL109" s="11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</row>
    <row r="110" spans="1:69" s="8" customFormat="1" ht="43.5" customHeight="1">
      <c r="A110" s="10"/>
      <c r="B110" s="194"/>
      <c r="C110" s="194"/>
      <c r="D110" s="194"/>
      <c r="E110" s="194"/>
      <c r="F110" s="194"/>
      <c r="G110" s="194"/>
      <c r="H110" s="194"/>
      <c r="I110" s="194"/>
      <c r="J110" s="194"/>
      <c r="K110" s="194"/>
      <c r="L110" s="194"/>
      <c r="M110" s="194"/>
      <c r="N110" s="194"/>
      <c r="O110" s="194"/>
      <c r="P110" s="185"/>
      <c r="Q110" s="185"/>
      <c r="R110" s="185"/>
      <c r="S110" s="185">
        <v>1</v>
      </c>
      <c r="T110" s="185">
        <v>2</v>
      </c>
      <c r="U110" s="185">
        <v>1</v>
      </c>
      <c r="V110" s="185">
        <v>0</v>
      </c>
      <c r="W110" s="185">
        <v>4</v>
      </c>
      <c r="X110" s="185">
        <v>0</v>
      </c>
      <c r="Y110" s="185">
        <v>0</v>
      </c>
      <c r="Z110" s="185">
        <v>0</v>
      </c>
      <c r="AA110" s="185">
        <v>2</v>
      </c>
      <c r="AB110" s="82" t="s">
        <v>148</v>
      </c>
      <c r="AC110" s="164" t="s">
        <v>95</v>
      </c>
      <c r="AD110" s="87">
        <v>8</v>
      </c>
      <c r="AE110" s="87">
        <v>8</v>
      </c>
      <c r="AF110" s="87">
        <v>8</v>
      </c>
      <c r="AG110" s="87">
        <v>8</v>
      </c>
      <c r="AH110" s="87">
        <v>8</v>
      </c>
      <c r="AI110" s="87">
        <v>8</v>
      </c>
      <c r="AJ110" s="122">
        <f>SUM(AD110:AI110)</f>
        <v>48</v>
      </c>
      <c r="AK110" s="97">
        <v>2027</v>
      </c>
      <c r="AL110" s="11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</row>
    <row r="111" spans="1:70" s="40" customFormat="1" ht="48" customHeight="1">
      <c r="A111" s="246"/>
      <c r="B111" s="194"/>
      <c r="C111" s="194"/>
      <c r="D111" s="194"/>
      <c r="E111" s="194"/>
      <c r="F111" s="194"/>
      <c r="G111" s="194"/>
      <c r="H111" s="194"/>
      <c r="I111" s="194"/>
      <c r="J111" s="194"/>
      <c r="K111" s="194"/>
      <c r="L111" s="194"/>
      <c r="M111" s="194"/>
      <c r="N111" s="194"/>
      <c r="O111" s="194"/>
      <c r="P111" s="185"/>
      <c r="Q111" s="185"/>
      <c r="R111" s="185"/>
      <c r="S111" s="185">
        <v>1</v>
      </c>
      <c r="T111" s="185">
        <v>2</v>
      </c>
      <c r="U111" s="185">
        <v>1</v>
      </c>
      <c r="V111" s="185">
        <v>0</v>
      </c>
      <c r="W111" s="185">
        <v>4</v>
      </c>
      <c r="X111" s="185">
        <v>0</v>
      </c>
      <c r="Y111" s="185">
        <v>0</v>
      </c>
      <c r="Z111" s="185">
        <v>0</v>
      </c>
      <c r="AA111" s="185">
        <v>3</v>
      </c>
      <c r="AB111" s="82" t="s">
        <v>149</v>
      </c>
      <c r="AC111" s="164" t="s">
        <v>94</v>
      </c>
      <c r="AD111" s="87">
        <v>62</v>
      </c>
      <c r="AE111" s="87">
        <v>62</v>
      </c>
      <c r="AF111" s="87">
        <v>62</v>
      </c>
      <c r="AG111" s="87">
        <v>62</v>
      </c>
      <c r="AH111" s="87">
        <v>62</v>
      </c>
      <c r="AI111" s="87">
        <v>62</v>
      </c>
      <c r="AJ111" s="87">
        <f>SUM(AD111:AI111)</f>
        <v>372</v>
      </c>
      <c r="AK111" s="97">
        <v>2027</v>
      </c>
      <c r="AL111" s="11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Q111" s="7"/>
      <c r="BR111" s="39"/>
    </row>
    <row r="112" spans="1:70" s="40" customFormat="1" ht="49.5" customHeight="1">
      <c r="A112" s="247"/>
      <c r="B112" s="195">
        <v>0</v>
      </c>
      <c r="C112" s="195">
        <v>2</v>
      </c>
      <c r="D112" s="195">
        <v>9</v>
      </c>
      <c r="E112" s="195">
        <v>0</v>
      </c>
      <c r="F112" s="195">
        <v>7</v>
      </c>
      <c r="G112" s="195">
        <v>0</v>
      </c>
      <c r="H112" s="195">
        <v>2</v>
      </c>
      <c r="I112" s="195">
        <v>1</v>
      </c>
      <c r="J112" s="195">
        <v>2</v>
      </c>
      <c r="K112" s="195">
        <v>1</v>
      </c>
      <c r="L112" s="195">
        <v>0</v>
      </c>
      <c r="M112" s="195">
        <v>4</v>
      </c>
      <c r="N112" s="195">
        <v>2</v>
      </c>
      <c r="O112" s="195">
        <v>0</v>
      </c>
      <c r="P112" s="195">
        <v>0</v>
      </c>
      <c r="Q112" s="195">
        <v>9</v>
      </c>
      <c r="R112" s="195" t="s">
        <v>74</v>
      </c>
      <c r="S112" s="185">
        <v>1</v>
      </c>
      <c r="T112" s="185">
        <v>2</v>
      </c>
      <c r="U112" s="185">
        <v>1</v>
      </c>
      <c r="V112" s="185">
        <v>0</v>
      </c>
      <c r="W112" s="185">
        <v>4</v>
      </c>
      <c r="X112" s="185">
        <v>0</v>
      </c>
      <c r="Y112" s="195">
        <v>1</v>
      </c>
      <c r="Z112" s="195">
        <v>0</v>
      </c>
      <c r="AA112" s="195">
        <v>0</v>
      </c>
      <c r="AB112" s="148" t="s">
        <v>248</v>
      </c>
      <c r="AC112" s="150" t="s">
        <v>96</v>
      </c>
      <c r="AD112" s="138">
        <f>328185-20100+470853</f>
        <v>778938</v>
      </c>
      <c r="AE112" s="138">
        <f>1598280+390846.65</f>
        <v>1989126.65</v>
      </c>
      <c r="AF112" s="138">
        <f>328185+1671815</f>
        <v>2000000</v>
      </c>
      <c r="AG112" s="138">
        <f>330285+1669715</f>
        <v>2000000</v>
      </c>
      <c r="AH112" s="138">
        <f>328185+1671815</f>
        <v>2000000</v>
      </c>
      <c r="AI112" s="138">
        <v>328185</v>
      </c>
      <c r="AJ112" s="138">
        <f aca="true" t="shared" si="7" ref="AJ112:AJ117">SUM(AD112:AI112)</f>
        <v>9096249.65</v>
      </c>
      <c r="AK112" s="136">
        <v>2027</v>
      </c>
      <c r="AL112" s="11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Q112" s="7"/>
      <c r="BR112" s="39"/>
    </row>
    <row r="113" spans="1:70" s="40" customFormat="1" ht="59.25" customHeight="1">
      <c r="A113" s="247"/>
      <c r="B113" s="195"/>
      <c r="C113" s="195"/>
      <c r="D113" s="195"/>
      <c r="E113" s="195"/>
      <c r="F113" s="195"/>
      <c r="G113" s="195"/>
      <c r="H113" s="195"/>
      <c r="I113" s="195"/>
      <c r="J113" s="195"/>
      <c r="K113" s="195"/>
      <c r="L113" s="195"/>
      <c r="M113" s="195"/>
      <c r="N113" s="195"/>
      <c r="O113" s="195"/>
      <c r="P113" s="195"/>
      <c r="Q113" s="195"/>
      <c r="R113" s="195"/>
      <c r="S113" s="185">
        <v>1</v>
      </c>
      <c r="T113" s="185">
        <v>2</v>
      </c>
      <c r="U113" s="185">
        <v>1</v>
      </c>
      <c r="V113" s="185">
        <v>0</v>
      </c>
      <c r="W113" s="185">
        <v>4</v>
      </c>
      <c r="X113" s="185">
        <v>0</v>
      </c>
      <c r="Y113" s="195">
        <v>1</v>
      </c>
      <c r="Z113" s="195">
        <v>0</v>
      </c>
      <c r="AA113" s="195">
        <v>1</v>
      </c>
      <c r="AB113" s="77" t="s">
        <v>283</v>
      </c>
      <c r="AC113" s="50" t="s">
        <v>107</v>
      </c>
      <c r="AD113" s="58">
        <v>127</v>
      </c>
      <c r="AE113" s="58">
        <v>127</v>
      </c>
      <c r="AF113" s="58">
        <v>127</v>
      </c>
      <c r="AG113" s="58">
        <v>127</v>
      </c>
      <c r="AH113" s="58">
        <v>127</v>
      </c>
      <c r="AI113" s="58">
        <v>127</v>
      </c>
      <c r="AJ113" s="58">
        <f t="shared" si="7"/>
        <v>762</v>
      </c>
      <c r="AK113" s="49">
        <v>2027</v>
      </c>
      <c r="AL113" s="11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39"/>
    </row>
    <row r="114" spans="1:38" s="7" customFormat="1" ht="36.75" customHeight="1">
      <c r="A114" s="247"/>
      <c r="B114" s="195">
        <v>0</v>
      </c>
      <c r="C114" s="195">
        <v>2</v>
      </c>
      <c r="D114" s="195">
        <v>9</v>
      </c>
      <c r="E114" s="195">
        <v>0</v>
      </c>
      <c r="F114" s="195">
        <v>7</v>
      </c>
      <c r="G114" s="195">
        <v>0</v>
      </c>
      <c r="H114" s="195">
        <v>2</v>
      </c>
      <c r="I114" s="195">
        <v>1</v>
      </c>
      <c r="J114" s="195">
        <v>2</v>
      </c>
      <c r="K114" s="195">
        <v>1</v>
      </c>
      <c r="L114" s="195">
        <v>0</v>
      </c>
      <c r="M114" s="195">
        <v>4</v>
      </c>
      <c r="N114" s="195">
        <v>2</v>
      </c>
      <c r="O114" s="195">
        <v>0</v>
      </c>
      <c r="P114" s="195">
        <v>1</v>
      </c>
      <c r="Q114" s="195">
        <v>0</v>
      </c>
      <c r="R114" s="195" t="s">
        <v>74</v>
      </c>
      <c r="S114" s="185">
        <v>1</v>
      </c>
      <c r="T114" s="185">
        <v>2</v>
      </c>
      <c r="U114" s="185">
        <v>1</v>
      </c>
      <c r="V114" s="185">
        <v>0</v>
      </c>
      <c r="W114" s="185">
        <v>4</v>
      </c>
      <c r="X114" s="185">
        <v>0</v>
      </c>
      <c r="Y114" s="195">
        <v>2</v>
      </c>
      <c r="Z114" s="195">
        <v>0</v>
      </c>
      <c r="AA114" s="195">
        <v>0</v>
      </c>
      <c r="AB114" s="148" t="s">
        <v>249</v>
      </c>
      <c r="AC114" s="131" t="s">
        <v>96</v>
      </c>
      <c r="AD114" s="137">
        <v>238000</v>
      </c>
      <c r="AE114" s="137">
        <v>238000</v>
      </c>
      <c r="AF114" s="137">
        <f>238000+40800</f>
        <v>278800</v>
      </c>
      <c r="AG114" s="137">
        <f>238000+40800</f>
        <v>278800</v>
      </c>
      <c r="AH114" s="137">
        <f>238000+40800</f>
        <v>278800</v>
      </c>
      <c r="AI114" s="137">
        <v>238000</v>
      </c>
      <c r="AJ114" s="138">
        <f t="shared" si="7"/>
        <v>1550400</v>
      </c>
      <c r="AK114" s="136">
        <v>2027</v>
      </c>
      <c r="AL114" s="11"/>
    </row>
    <row r="115" spans="1:37" s="35" customFormat="1" ht="65.25" customHeight="1">
      <c r="A115" s="247"/>
      <c r="B115" s="195"/>
      <c r="C115" s="195"/>
      <c r="D115" s="195"/>
      <c r="E115" s="195"/>
      <c r="F115" s="195"/>
      <c r="G115" s="195"/>
      <c r="H115" s="195"/>
      <c r="I115" s="195"/>
      <c r="J115" s="195"/>
      <c r="K115" s="195"/>
      <c r="L115" s="195"/>
      <c r="M115" s="195"/>
      <c r="N115" s="195"/>
      <c r="O115" s="195"/>
      <c r="P115" s="195"/>
      <c r="Q115" s="195"/>
      <c r="R115" s="195"/>
      <c r="S115" s="185">
        <v>1</v>
      </c>
      <c r="T115" s="185">
        <v>2</v>
      </c>
      <c r="U115" s="185">
        <v>1</v>
      </c>
      <c r="V115" s="185">
        <v>0</v>
      </c>
      <c r="W115" s="185">
        <v>4</v>
      </c>
      <c r="X115" s="185">
        <v>0</v>
      </c>
      <c r="Y115" s="195">
        <v>2</v>
      </c>
      <c r="Z115" s="195">
        <v>0</v>
      </c>
      <c r="AA115" s="195">
        <v>1</v>
      </c>
      <c r="AB115" s="77" t="s">
        <v>284</v>
      </c>
      <c r="AC115" s="50" t="s">
        <v>95</v>
      </c>
      <c r="AD115" s="101">
        <v>1</v>
      </c>
      <c r="AE115" s="95">
        <v>1</v>
      </c>
      <c r="AF115" s="101">
        <v>1</v>
      </c>
      <c r="AG115" s="101">
        <v>1</v>
      </c>
      <c r="AH115" s="101">
        <v>1</v>
      </c>
      <c r="AI115" s="101">
        <v>1</v>
      </c>
      <c r="AJ115" s="102">
        <f t="shared" si="7"/>
        <v>6</v>
      </c>
      <c r="AK115" s="49">
        <v>2027</v>
      </c>
    </row>
    <row r="116" spans="1:37" s="35" customFormat="1" ht="47.25" customHeight="1">
      <c r="A116" s="247"/>
      <c r="B116" s="186">
        <v>0</v>
      </c>
      <c r="C116" s="186">
        <v>2</v>
      </c>
      <c r="D116" s="186">
        <v>9</v>
      </c>
      <c r="E116" s="186">
        <v>0</v>
      </c>
      <c r="F116" s="186">
        <v>7</v>
      </c>
      <c r="G116" s="186">
        <v>0</v>
      </c>
      <c r="H116" s="186">
        <v>2</v>
      </c>
      <c r="I116" s="186">
        <v>1</v>
      </c>
      <c r="J116" s="186">
        <v>2</v>
      </c>
      <c r="K116" s="186">
        <v>1</v>
      </c>
      <c r="L116" s="186">
        <v>0</v>
      </c>
      <c r="M116" s="186">
        <v>4</v>
      </c>
      <c r="N116" s="186" t="s">
        <v>245</v>
      </c>
      <c r="O116" s="186">
        <v>3</v>
      </c>
      <c r="P116" s="186">
        <v>0</v>
      </c>
      <c r="Q116" s="186">
        <v>4</v>
      </c>
      <c r="R116" s="186">
        <v>1</v>
      </c>
      <c r="S116" s="186">
        <v>1</v>
      </c>
      <c r="T116" s="186">
        <v>2</v>
      </c>
      <c r="U116" s="186">
        <v>1</v>
      </c>
      <c r="V116" s="186">
        <v>0</v>
      </c>
      <c r="W116" s="186">
        <v>4</v>
      </c>
      <c r="X116" s="186">
        <v>0</v>
      </c>
      <c r="Y116" s="186">
        <v>3</v>
      </c>
      <c r="Z116" s="186">
        <v>0</v>
      </c>
      <c r="AA116" s="186">
        <v>0</v>
      </c>
      <c r="AB116" s="141" t="s">
        <v>250</v>
      </c>
      <c r="AC116" s="131" t="s">
        <v>96</v>
      </c>
      <c r="AD116" s="142">
        <f>10135000+201500-0.03</f>
        <v>10336499.97</v>
      </c>
      <c r="AE116" s="142">
        <v>10731777.8</v>
      </c>
      <c r="AF116" s="142">
        <f>10731777.8+939889.2</f>
        <v>11671667</v>
      </c>
      <c r="AG116" s="142">
        <f>10376555.6+1009222.4</f>
        <v>11385778</v>
      </c>
      <c r="AH116" s="142">
        <f>10467600+688623-1000</f>
        <v>11155223</v>
      </c>
      <c r="AI116" s="142">
        <v>10467600</v>
      </c>
      <c r="AJ116" s="143">
        <f t="shared" si="7"/>
        <v>65748545.77</v>
      </c>
      <c r="AK116" s="134">
        <v>2027</v>
      </c>
    </row>
    <row r="117" spans="1:37" s="35" customFormat="1" ht="66.75" customHeight="1">
      <c r="A117" s="247"/>
      <c r="B117" s="195"/>
      <c r="C117" s="195"/>
      <c r="D117" s="195"/>
      <c r="E117" s="195"/>
      <c r="F117" s="195"/>
      <c r="G117" s="195"/>
      <c r="H117" s="195"/>
      <c r="I117" s="195"/>
      <c r="J117" s="195"/>
      <c r="K117" s="195"/>
      <c r="L117" s="195"/>
      <c r="M117" s="195"/>
      <c r="N117" s="195"/>
      <c r="O117" s="195"/>
      <c r="P117" s="195"/>
      <c r="Q117" s="195"/>
      <c r="R117" s="195"/>
      <c r="S117" s="186">
        <v>1</v>
      </c>
      <c r="T117" s="186">
        <v>2</v>
      </c>
      <c r="U117" s="186">
        <v>1</v>
      </c>
      <c r="V117" s="186">
        <v>0</v>
      </c>
      <c r="W117" s="186">
        <v>4</v>
      </c>
      <c r="X117" s="186">
        <v>0</v>
      </c>
      <c r="Y117" s="186">
        <v>3</v>
      </c>
      <c r="Z117" s="186">
        <v>0</v>
      </c>
      <c r="AA117" s="186">
        <v>1</v>
      </c>
      <c r="AB117" s="82" t="s">
        <v>285</v>
      </c>
      <c r="AC117" s="52" t="s">
        <v>107</v>
      </c>
      <c r="AD117" s="95">
        <v>849</v>
      </c>
      <c r="AE117" s="95">
        <v>849</v>
      </c>
      <c r="AF117" s="95">
        <v>849</v>
      </c>
      <c r="AG117" s="95">
        <v>849</v>
      </c>
      <c r="AH117" s="95">
        <v>849</v>
      </c>
      <c r="AI117" s="95">
        <v>849</v>
      </c>
      <c r="AJ117" s="122">
        <f t="shared" si="7"/>
        <v>5094</v>
      </c>
      <c r="AK117" s="97">
        <v>2027</v>
      </c>
    </row>
    <row r="118" spans="1:37" s="35" customFormat="1" ht="64.5" customHeight="1">
      <c r="A118" s="247"/>
      <c r="B118" s="195"/>
      <c r="C118" s="195"/>
      <c r="D118" s="195"/>
      <c r="E118" s="195"/>
      <c r="F118" s="195"/>
      <c r="G118" s="195"/>
      <c r="H118" s="195"/>
      <c r="I118" s="195"/>
      <c r="J118" s="195"/>
      <c r="K118" s="195"/>
      <c r="L118" s="195"/>
      <c r="M118" s="195"/>
      <c r="N118" s="195"/>
      <c r="O118" s="195"/>
      <c r="P118" s="185"/>
      <c r="Q118" s="185"/>
      <c r="R118" s="185"/>
      <c r="S118" s="185">
        <v>1</v>
      </c>
      <c r="T118" s="185">
        <v>2</v>
      </c>
      <c r="U118" s="185">
        <v>1</v>
      </c>
      <c r="V118" s="185">
        <v>0</v>
      </c>
      <c r="W118" s="185">
        <v>5</v>
      </c>
      <c r="X118" s="185">
        <v>0</v>
      </c>
      <c r="Y118" s="185">
        <v>0</v>
      </c>
      <c r="Z118" s="185">
        <v>0</v>
      </c>
      <c r="AA118" s="185">
        <v>0</v>
      </c>
      <c r="AB118" s="127" t="s">
        <v>84</v>
      </c>
      <c r="AC118" s="144"/>
      <c r="AD118" s="213">
        <f aca="true" t="shared" si="8" ref="AD118:AI118">AD127+AD132+AD134+AD135+AD137</f>
        <v>456366.12</v>
      </c>
      <c r="AE118" s="213">
        <f t="shared" si="8"/>
        <v>463857.12</v>
      </c>
      <c r="AF118" s="213">
        <f t="shared" si="8"/>
        <v>376244.04</v>
      </c>
      <c r="AG118" s="213">
        <f t="shared" si="8"/>
        <v>376244.04</v>
      </c>
      <c r="AH118" s="213">
        <f t="shared" si="8"/>
        <v>376244.04</v>
      </c>
      <c r="AI118" s="213">
        <f t="shared" si="8"/>
        <v>424850.67</v>
      </c>
      <c r="AJ118" s="212">
        <f>SUM(AD118:AI118)</f>
        <v>2473806.0300000003</v>
      </c>
      <c r="AK118" s="129">
        <v>2027</v>
      </c>
    </row>
    <row r="119" spans="1:37" s="35" customFormat="1" ht="49.5" customHeight="1">
      <c r="A119" s="247"/>
      <c r="B119" s="195"/>
      <c r="C119" s="195"/>
      <c r="D119" s="195"/>
      <c r="E119" s="195"/>
      <c r="F119" s="195"/>
      <c r="G119" s="195"/>
      <c r="H119" s="195"/>
      <c r="I119" s="195"/>
      <c r="J119" s="195"/>
      <c r="K119" s="195"/>
      <c r="L119" s="195"/>
      <c r="M119" s="195"/>
      <c r="N119" s="195"/>
      <c r="O119" s="195"/>
      <c r="P119" s="185"/>
      <c r="Q119" s="185"/>
      <c r="R119" s="185"/>
      <c r="S119" s="185">
        <v>1</v>
      </c>
      <c r="T119" s="185">
        <v>2</v>
      </c>
      <c r="U119" s="185">
        <v>1</v>
      </c>
      <c r="V119" s="185">
        <v>0</v>
      </c>
      <c r="W119" s="185">
        <v>5</v>
      </c>
      <c r="X119" s="185">
        <v>0</v>
      </c>
      <c r="Y119" s="185">
        <v>0</v>
      </c>
      <c r="Z119" s="185">
        <v>0</v>
      </c>
      <c r="AA119" s="185">
        <v>1</v>
      </c>
      <c r="AB119" s="77" t="s">
        <v>195</v>
      </c>
      <c r="AC119" s="50" t="s">
        <v>94</v>
      </c>
      <c r="AD119" s="37">
        <v>100</v>
      </c>
      <c r="AE119" s="37">
        <v>100</v>
      </c>
      <c r="AF119" s="37">
        <v>100</v>
      </c>
      <c r="AG119" s="37">
        <v>100</v>
      </c>
      <c r="AH119" s="37">
        <v>100</v>
      </c>
      <c r="AI119" s="37">
        <v>100</v>
      </c>
      <c r="AJ119" s="58">
        <v>100</v>
      </c>
      <c r="AK119" s="37">
        <v>2027</v>
      </c>
    </row>
    <row r="120" spans="1:37" s="35" customFormat="1" ht="60">
      <c r="A120" s="247"/>
      <c r="B120" s="195"/>
      <c r="C120" s="195"/>
      <c r="D120" s="195"/>
      <c r="E120" s="195"/>
      <c r="F120" s="195"/>
      <c r="G120" s="195"/>
      <c r="H120" s="195"/>
      <c r="I120" s="195"/>
      <c r="J120" s="195"/>
      <c r="K120" s="195"/>
      <c r="L120" s="195"/>
      <c r="M120" s="195"/>
      <c r="N120" s="195"/>
      <c r="O120" s="195"/>
      <c r="P120" s="185"/>
      <c r="Q120" s="185"/>
      <c r="R120" s="185"/>
      <c r="S120" s="185">
        <v>1</v>
      </c>
      <c r="T120" s="185">
        <v>2</v>
      </c>
      <c r="U120" s="185">
        <v>1</v>
      </c>
      <c r="V120" s="185">
        <v>0</v>
      </c>
      <c r="W120" s="185">
        <v>5</v>
      </c>
      <c r="X120" s="185">
        <v>0</v>
      </c>
      <c r="Y120" s="185">
        <v>0</v>
      </c>
      <c r="Z120" s="185">
        <v>0</v>
      </c>
      <c r="AA120" s="185">
        <v>2</v>
      </c>
      <c r="AB120" s="77" t="s">
        <v>196</v>
      </c>
      <c r="AC120" s="50" t="s">
        <v>94</v>
      </c>
      <c r="AD120" s="37">
        <v>100</v>
      </c>
      <c r="AE120" s="37">
        <v>100</v>
      </c>
      <c r="AF120" s="37">
        <v>100</v>
      </c>
      <c r="AG120" s="37">
        <v>100</v>
      </c>
      <c r="AH120" s="37">
        <v>100</v>
      </c>
      <c r="AI120" s="37">
        <v>100</v>
      </c>
      <c r="AJ120" s="58">
        <v>100</v>
      </c>
      <c r="AK120" s="37">
        <v>2027</v>
      </c>
    </row>
    <row r="121" spans="1:37" s="35" customFormat="1" ht="45">
      <c r="A121" s="247"/>
      <c r="B121" s="195"/>
      <c r="C121" s="195"/>
      <c r="D121" s="195"/>
      <c r="E121" s="195"/>
      <c r="F121" s="195"/>
      <c r="G121" s="195"/>
      <c r="H121" s="195"/>
      <c r="I121" s="195"/>
      <c r="J121" s="195"/>
      <c r="K121" s="195"/>
      <c r="L121" s="195"/>
      <c r="M121" s="195"/>
      <c r="N121" s="195"/>
      <c r="O121" s="195"/>
      <c r="P121" s="185"/>
      <c r="Q121" s="185"/>
      <c r="R121" s="185"/>
      <c r="S121" s="185">
        <v>1</v>
      </c>
      <c r="T121" s="185">
        <v>2</v>
      </c>
      <c r="U121" s="185">
        <v>1</v>
      </c>
      <c r="V121" s="185">
        <v>0</v>
      </c>
      <c r="W121" s="185">
        <v>5</v>
      </c>
      <c r="X121" s="185">
        <v>0</v>
      </c>
      <c r="Y121" s="185">
        <v>0</v>
      </c>
      <c r="Z121" s="185">
        <v>0</v>
      </c>
      <c r="AA121" s="185">
        <v>3</v>
      </c>
      <c r="AB121" s="77" t="s">
        <v>197</v>
      </c>
      <c r="AC121" s="50" t="s">
        <v>94</v>
      </c>
      <c r="AD121" s="37">
        <v>100</v>
      </c>
      <c r="AE121" s="37">
        <v>100</v>
      </c>
      <c r="AF121" s="37">
        <v>100</v>
      </c>
      <c r="AG121" s="37">
        <v>100</v>
      </c>
      <c r="AH121" s="37">
        <v>100</v>
      </c>
      <c r="AI121" s="37">
        <v>100</v>
      </c>
      <c r="AJ121" s="37">
        <v>100</v>
      </c>
      <c r="AK121" s="37">
        <v>2027</v>
      </c>
    </row>
    <row r="122" spans="1:37" s="35" customFormat="1" ht="45">
      <c r="A122" s="247"/>
      <c r="B122" s="195"/>
      <c r="C122" s="195"/>
      <c r="D122" s="195"/>
      <c r="E122" s="195"/>
      <c r="F122" s="195"/>
      <c r="G122" s="195"/>
      <c r="H122" s="195"/>
      <c r="I122" s="195"/>
      <c r="J122" s="195"/>
      <c r="K122" s="195"/>
      <c r="L122" s="195"/>
      <c r="M122" s="195"/>
      <c r="N122" s="195"/>
      <c r="O122" s="195"/>
      <c r="P122" s="185"/>
      <c r="Q122" s="185"/>
      <c r="R122" s="185"/>
      <c r="S122" s="185">
        <v>1</v>
      </c>
      <c r="T122" s="185">
        <v>2</v>
      </c>
      <c r="U122" s="185">
        <v>1</v>
      </c>
      <c r="V122" s="185">
        <v>0</v>
      </c>
      <c r="W122" s="185">
        <v>5</v>
      </c>
      <c r="X122" s="185">
        <v>0</v>
      </c>
      <c r="Y122" s="185">
        <v>0</v>
      </c>
      <c r="Z122" s="185">
        <v>0</v>
      </c>
      <c r="AA122" s="185">
        <v>4</v>
      </c>
      <c r="AB122" s="77" t="s">
        <v>198</v>
      </c>
      <c r="AC122" s="50" t="s">
        <v>94</v>
      </c>
      <c r="AD122" s="37">
        <v>50</v>
      </c>
      <c r="AE122" s="37">
        <v>50</v>
      </c>
      <c r="AF122" s="37">
        <v>50</v>
      </c>
      <c r="AG122" s="37">
        <v>50</v>
      </c>
      <c r="AH122" s="37">
        <v>50</v>
      </c>
      <c r="AI122" s="37">
        <v>50</v>
      </c>
      <c r="AJ122" s="37">
        <v>50</v>
      </c>
      <c r="AK122" s="37">
        <v>2027</v>
      </c>
    </row>
    <row r="123" spans="1:37" s="35" customFormat="1" ht="45">
      <c r="A123" s="247"/>
      <c r="B123" s="195"/>
      <c r="C123" s="195"/>
      <c r="D123" s="195"/>
      <c r="E123" s="195"/>
      <c r="F123" s="195"/>
      <c r="G123" s="195"/>
      <c r="H123" s="195"/>
      <c r="I123" s="195"/>
      <c r="J123" s="195"/>
      <c r="K123" s="195"/>
      <c r="L123" s="195"/>
      <c r="M123" s="195"/>
      <c r="N123" s="195"/>
      <c r="O123" s="195"/>
      <c r="P123" s="185"/>
      <c r="Q123" s="185"/>
      <c r="R123" s="185"/>
      <c r="S123" s="185">
        <v>1</v>
      </c>
      <c r="T123" s="185">
        <v>2</v>
      </c>
      <c r="U123" s="185">
        <v>1</v>
      </c>
      <c r="V123" s="185">
        <v>0</v>
      </c>
      <c r="W123" s="185">
        <v>5</v>
      </c>
      <c r="X123" s="185">
        <v>0</v>
      </c>
      <c r="Y123" s="185">
        <v>0</v>
      </c>
      <c r="Z123" s="185">
        <v>0</v>
      </c>
      <c r="AA123" s="185">
        <v>5</v>
      </c>
      <c r="AB123" s="77" t="s">
        <v>7</v>
      </c>
      <c r="AC123" s="50" t="s">
        <v>94</v>
      </c>
      <c r="AD123" s="37">
        <v>50</v>
      </c>
      <c r="AE123" s="37">
        <v>50</v>
      </c>
      <c r="AF123" s="37">
        <v>50</v>
      </c>
      <c r="AG123" s="37">
        <v>50</v>
      </c>
      <c r="AH123" s="37">
        <v>50</v>
      </c>
      <c r="AI123" s="37">
        <v>50</v>
      </c>
      <c r="AJ123" s="37">
        <v>50</v>
      </c>
      <c r="AK123" s="37">
        <v>2027</v>
      </c>
    </row>
    <row r="124" spans="1:37" s="35" customFormat="1" ht="45">
      <c r="A124" s="247"/>
      <c r="B124" s="195"/>
      <c r="C124" s="195"/>
      <c r="D124" s="195"/>
      <c r="E124" s="195"/>
      <c r="F124" s="195"/>
      <c r="G124" s="195"/>
      <c r="H124" s="195"/>
      <c r="I124" s="195"/>
      <c r="J124" s="195"/>
      <c r="K124" s="195"/>
      <c r="L124" s="195"/>
      <c r="M124" s="195"/>
      <c r="N124" s="195"/>
      <c r="O124" s="195"/>
      <c r="P124" s="185"/>
      <c r="Q124" s="185"/>
      <c r="R124" s="185"/>
      <c r="S124" s="185">
        <v>1</v>
      </c>
      <c r="T124" s="185">
        <v>2</v>
      </c>
      <c r="U124" s="185">
        <v>1</v>
      </c>
      <c r="V124" s="185">
        <v>0</v>
      </c>
      <c r="W124" s="185">
        <v>5</v>
      </c>
      <c r="X124" s="185">
        <v>0</v>
      </c>
      <c r="Y124" s="185">
        <v>0</v>
      </c>
      <c r="Z124" s="185">
        <v>0</v>
      </c>
      <c r="AA124" s="185">
        <v>6</v>
      </c>
      <c r="AB124" s="77" t="s">
        <v>8</v>
      </c>
      <c r="AC124" s="50" t="s">
        <v>107</v>
      </c>
      <c r="AD124" s="37">
        <v>8</v>
      </c>
      <c r="AE124" s="37">
        <v>8</v>
      </c>
      <c r="AF124" s="37">
        <v>8</v>
      </c>
      <c r="AG124" s="37">
        <v>8</v>
      </c>
      <c r="AH124" s="37">
        <v>8</v>
      </c>
      <c r="AI124" s="37">
        <v>8</v>
      </c>
      <c r="AJ124" s="58">
        <f>SUM(AD124:AI124)</f>
        <v>48</v>
      </c>
      <c r="AK124" s="37">
        <v>2027</v>
      </c>
    </row>
    <row r="125" spans="1:37" s="35" customFormat="1" ht="59.25">
      <c r="A125" s="247"/>
      <c r="B125" s="185"/>
      <c r="C125" s="185"/>
      <c r="D125" s="185"/>
      <c r="E125" s="185"/>
      <c r="F125" s="185"/>
      <c r="G125" s="185"/>
      <c r="H125" s="185"/>
      <c r="I125" s="185"/>
      <c r="J125" s="185"/>
      <c r="K125" s="185"/>
      <c r="L125" s="185"/>
      <c r="M125" s="185"/>
      <c r="N125" s="185"/>
      <c r="O125" s="185"/>
      <c r="P125" s="185"/>
      <c r="Q125" s="185"/>
      <c r="R125" s="185"/>
      <c r="S125" s="185">
        <v>1</v>
      </c>
      <c r="T125" s="185">
        <v>2</v>
      </c>
      <c r="U125" s="185">
        <v>1</v>
      </c>
      <c r="V125" s="185">
        <v>0</v>
      </c>
      <c r="W125" s="185">
        <v>5</v>
      </c>
      <c r="X125" s="185">
        <v>0</v>
      </c>
      <c r="Y125" s="185">
        <v>1</v>
      </c>
      <c r="Z125" s="185">
        <v>0</v>
      </c>
      <c r="AA125" s="185">
        <v>0</v>
      </c>
      <c r="AB125" s="141" t="s">
        <v>199</v>
      </c>
      <c r="AC125" s="151"/>
      <c r="AD125" s="152" t="s">
        <v>5</v>
      </c>
      <c r="AE125" s="146" t="s">
        <v>5</v>
      </c>
      <c r="AF125" s="146" t="s">
        <v>5</v>
      </c>
      <c r="AG125" s="146" t="s">
        <v>5</v>
      </c>
      <c r="AH125" s="146" t="s">
        <v>5</v>
      </c>
      <c r="AI125" s="146" t="s">
        <v>5</v>
      </c>
      <c r="AJ125" s="139" t="s">
        <v>5</v>
      </c>
      <c r="AK125" s="136" t="s">
        <v>5</v>
      </c>
    </row>
    <row r="126" spans="1:37" s="35" customFormat="1" ht="48.75" customHeight="1">
      <c r="A126" s="247"/>
      <c r="B126" s="185"/>
      <c r="C126" s="185"/>
      <c r="D126" s="185"/>
      <c r="E126" s="185"/>
      <c r="F126" s="185"/>
      <c r="G126" s="185"/>
      <c r="H126" s="185"/>
      <c r="I126" s="185"/>
      <c r="J126" s="185"/>
      <c r="K126" s="185"/>
      <c r="L126" s="185"/>
      <c r="M126" s="185"/>
      <c r="N126" s="185"/>
      <c r="O126" s="185"/>
      <c r="P126" s="185"/>
      <c r="Q126" s="185"/>
      <c r="R126" s="185"/>
      <c r="S126" s="185">
        <v>1</v>
      </c>
      <c r="T126" s="185">
        <v>2</v>
      </c>
      <c r="U126" s="185">
        <v>1</v>
      </c>
      <c r="V126" s="185">
        <v>0</v>
      </c>
      <c r="W126" s="185">
        <v>5</v>
      </c>
      <c r="X126" s="185">
        <v>0</v>
      </c>
      <c r="Y126" s="185">
        <v>1</v>
      </c>
      <c r="Z126" s="185">
        <v>0</v>
      </c>
      <c r="AA126" s="185">
        <v>1</v>
      </c>
      <c r="AB126" s="70" t="s">
        <v>222</v>
      </c>
      <c r="AC126" s="69" t="s">
        <v>95</v>
      </c>
      <c r="AD126" s="104">
        <v>27</v>
      </c>
      <c r="AE126" s="105">
        <v>27</v>
      </c>
      <c r="AF126" s="105">
        <v>27</v>
      </c>
      <c r="AG126" s="105" t="s">
        <v>217</v>
      </c>
      <c r="AH126" s="105">
        <v>27</v>
      </c>
      <c r="AI126" s="105">
        <v>27</v>
      </c>
      <c r="AJ126" s="106" t="s">
        <v>220</v>
      </c>
      <c r="AK126" s="49">
        <v>2027</v>
      </c>
    </row>
    <row r="127" spans="1:37" s="35" customFormat="1" ht="39" customHeight="1">
      <c r="A127" s="247"/>
      <c r="B127" s="185">
        <v>0</v>
      </c>
      <c r="C127" s="185">
        <v>2</v>
      </c>
      <c r="D127" s="185">
        <v>9</v>
      </c>
      <c r="E127" s="185">
        <v>0</v>
      </c>
      <c r="F127" s="185">
        <v>7</v>
      </c>
      <c r="G127" s="185">
        <v>0</v>
      </c>
      <c r="H127" s="185">
        <v>9</v>
      </c>
      <c r="I127" s="185">
        <v>1</v>
      </c>
      <c r="J127" s="185">
        <v>2</v>
      </c>
      <c r="K127" s="185">
        <v>1</v>
      </c>
      <c r="L127" s="185">
        <v>0</v>
      </c>
      <c r="M127" s="185">
        <v>5</v>
      </c>
      <c r="N127" s="185">
        <v>2</v>
      </c>
      <c r="O127" s="185">
        <v>0</v>
      </c>
      <c r="P127" s="185">
        <v>0</v>
      </c>
      <c r="Q127" s="185">
        <v>1</v>
      </c>
      <c r="R127" s="185" t="s">
        <v>71</v>
      </c>
      <c r="S127" s="185">
        <v>1</v>
      </c>
      <c r="T127" s="185">
        <v>2</v>
      </c>
      <c r="U127" s="185">
        <v>1</v>
      </c>
      <c r="V127" s="185">
        <v>0</v>
      </c>
      <c r="W127" s="185">
        <v>5</v>
      </c>
      <c r="X127" s="185">
        <v>0</v>
      </c>
      <c r="Y127" s="185">
        <v>1</v>
      </c>
      <c r="Z127" s="185">
        <v>0</v>
      </c>
      <c r="AA127" s="185">
        <v>0</v>
      </c>
      <c r="AB127" s="148" t="s">
        <v>27</v>
      </c>
      <c r="AC127" s="151" t="s">
        <v>96</v>
      </c>
      <c r="AD127" s="137">
        <f>253184-8515</f>
        <v>244669</v>
      </c>
      <c r="AE127" s="137">
        <f>238960-4602.88</f>
        <v>234357.12</v>
      </c>
      <c r="AF127" s="137">
        <f>238960-4602.88-10637.12</f>
        <v>223720</v>
      </c>
      <c r="AG127" s="137">
        <f>238960-4602.88-10637.12</f>
        <v>223720</v>
      </c>
      <c r="AH127" s="137">
        <f>253184-14030.45-15433.55</f>
        <v>223720</v>
      </c>
      <c r="AI127" s="137">
        <f>253184-14030.45</f>
        <v>239153.55</v>
      </c>
      <c r="AJ127" s="138">
        <f>SUM(AD127:AI127)</f>
        <v>1389339.6700000002</v>
      </c>
      <c r="AK127" s="136">
        <v>2027</v>
      </c>
    </row>
    <row r="128" spans="1:37" s="35" customFormat="1" ht="45" customHeight="1">
      <c r="A128" s="247"/>
      <c r="B128" s="185"/>
      <c r="C128" s="185"/>
      <c r="D128" s="185"/>
      <c r="E128" s="185"/>
      <c r="F128" s="185"/>
      <c r="G128" s="185"/>
      <c r="H128" s="185"/>
      <c r="I128" s="185"/>
      <c r="J128" s="185"/>
      <c r="K128" s="185"/>
      <c r="L128" s="185"/>
      <c r="M128" s="185"/>
      <c r="N128" s="185"/>
      <c r="O128" s="185"/>
      <c r="P128" s="185"/>
      <c r="Q128" s="185"/>
      <c r="R128" s="185"/>
      <c r="S128" s="185">
        <v>1</v>
      </c>
      <c r="T128" s="185">
        <v>2</v>
      </c>
      <c r="U128" s="185">
        <v>1</v>
      </c>
      <c r="V128" s="185">
        <v>0</v>
      </c>
      <c r="W128" s="185">
        <v>5</v>
      </c>
      <c r="X128" s="185">
        <v>0</v>
      </c>
      <c r="Y128" s="185">
        <v>1</v>
      </c>
      <c r="Z128" s="185">
        <v>0</v>
      </c>
      <c r="AA128" s="185">
        <v>1</v>
      </c>
      <c r="AB128" s="77" t="s">
        <v>28</v>
      </c>
      <c r="AC128" s="62" t="s">
        <v>95</v>
      </c>
      <c r="AD128" s="67">
        <v>6</v>
      </c>
      <c r="AE128" s="67">
        <v>6</v>
      </c>
      <c r="AF128" s="67">
        <v>6</v>
      </c>
      <c r="AG128" s="67">
        <v>6</v>
      </c>
      <c r="AH128" s="67">
        <v>6</v>
      </c>
      <c r="AI128" s="67">
        <v>6</v>
      </c>
      <c r="AJ128" s="58">
        <f>SUM(AD128:AI128)</f>
        <v>36</v>
      </c>
      <c r="AK128" s="49">
        <v>2027</v>
      </c>
    </row>
    <row r="129" spans="1:37" s="35" customFormat="1" ht="49.5" customHeight="1">
      <c r="A129" s="247"/>
      <c r="B129" s="185"/>
      <c r="C129" s="185"/>
      <c r="D129" s="185"/>
      <c r="E129" s="185"/>
      <c r="F129" s="185"/>
      <c r="G129" s="185"/>
      <c r="H129" s="185"/>
      <c r="I129" s="185"/>
      <c r="J129" s="185"/>
      <c r="K129" s="185"/>
      <c r="L129" s="185"/>
      <c r="M129" s="185"/>
      <c r="N129" s="185"/>
      <c r="O129" s="185"/>
      <c r="P129" s="185"/>
      <c r="Q129" s="185"/>
      <c r="R129" s="185"/>
      <c r="S129" s="185">
        <v>1</v>
      </c>
      <c r="T129" s="185">
        <v>2</v>
      </c>
      <c r="U129" s="185">
        <v>1</v>
      </c>
      <c r="V129" s="185">
        <v>0</v>
      </c>
      <c r="W129" s="185">
        <v>5</v>
      </c>
      <c r="X129" s="185">
        <v>0</v>
      </c>
      <c r="Y129" s="185">
        <v>1</v>
      </c>
      <c r="Z129" s="185">
        <v>0</v>
      </c>
      <c r="AA129" s="185">
        <v>2</v>
      </c>
      <c r="AB129" s="77" t="s">
        <v>29</v>
      </c>
      <c r="AC129" s="62" t="s">
        <v>95</v>
      </c>
      <c r="AD129" s="67">
        <v>7</v>
      </c>
      <c r="AE129" s="67">
        <v>7</v>
      </c>
      <c r="AF129" s="67">
        <v>7</v>
      </c>
      <c r="AG129" s="67">
        <v>7</v>
      </c>
      <c r="AH129" s="67">
        <v>7</v>
      </c>
      <c r="AI129" s="67">
        <v>7</v>
      </c>
      <c r="AJ129" s="58">
        <f>SUM(AD129:AI129)</f>
        <v>42</v>
      </c>
      <c r="AK129" s="49">
        <v>2027</v>
      </c>
    </row>
    <row r="130" spans="1:37" s="35" customFormat="1" ht="47.25" customHeight="1">
      <c r="A130" s="247"/>
      <c r="B130" s="185"/>
      <c r="C130" s="185"/>
      <c r="D130" s="185"/>
      <c r="E130" s="185"/>
      <c r="F130" s="185"/>
      <c r="G130" s="185"/>
      <c r="H130" s="185"/>
      <c r="I130" s="185"/>
      <c r="J130" s="185"/>
      <c r="K130" s="185"/>
      <c r="L130" s="185"/>
      <c r="M130" s="185"/>
      <c r="N130" s="185"/>
      <c r="O130" s="185"/>
      <c r="P130" s="185"/>
      <c r="Q130" s="185"/>
      <c r="R130" s="185"/>
      <c r="S130" s="185">
        <v>1</v>
      </c>
      <c r="T130" s="185">
        <v>2</v>
      </c>
      <c r="U130" s="185">
        <v>1</v>
      </c>
      <c r="V130" s="185">
        <v>0</v>
      </c>
      <c r="W130" s="185">
        <v>5</v>
      </c>
      <c r="X130" s="185">
        <v>0</v>
      </c>
      <c r="Y130" s="185">
        <v>1</v>
      </c>
      <c r="Z130" s="185">
        <v>0</v>
      </c>
      <c r="AA130" s="185">
        <v>3</v>
      </c>
      <c r="AB130" s="77" t="s">
        <v>30</v>
      </c>
      <c r="AC130" s="62" t="s">
        <v>95</v>
      </c>
      <c r="AD130" s="67">
        <v>207</v>
      </c>
      <c r="AE130" s="67">
        <v>207</v>
      </c>
      <c r="AF130" s="67">
        <v>207</v>
      </c>
      <c r="AG130" s="67">
        <v>207</v>
      </c>
      <c r="AH130" s="67">
        <v>207</v>
      </c>
      <c r="AI130" s="67">
        <v>207</v>
      </c>
      <c r="AJ130" s="58">
        <f>SUM(AD130:AI130)</f>
        <v>1242</v>
      </c>
      <c r="AK130" s="49">
        <v>2027</v>
      </c>
    </row>
    <row r="131" spans="1:37" s="35" customFormat="1" ht="48" customHeight="1">
      <c r="A131" s="247"/>
      <c r="B131" s="185"/>
      <c r="C131" s="185"/>
      <c r="D131" s="185"/>
      <c r="E131" s="185"/>
      <c r="F131" s="185"/>
      <c r="G131" s="185"/>
      <c r="H131" s="185"/>
      <c r="I131" s="185"/>
      <c r="J131" s="185"/>
      <c r="K131" s="185"/>
      <c r="L131" s="185"/>
      <c r="M131" s="185"/>
      <c r="N131" s="185"/>
      <c r="O131" s="185"/>
      <c r="P131" s="185"/>
      <c r="Q131" s="185"/>
      <c r="R131" s="185"/>
      <c r="S131" s="185">
        <v>1</v>
      </c>
      <c r="T131" s="185">
        <v>2</v>
      </c>
      <c r="U131" s="185">
        <v>1</v>
      </c>
      <c r="V131" s="185">
        <v>0</v>
      </c>
      <c r="W131" s="185">
        <v>5</v>
      </c>
      <c r="X131" s="185">
        <v>0</v>
      </c>
      <c r="Y131" s="185">
        <v>1</v>
      </c>
      <c r="Z131" s="185">
        <v>0</v>
      </c>
      <c r="AA131" s="185">
        <v>4</v>
      </c>
      <c r="AB131" s="77" t="s">
        <v>31</v>
      </c>
      <c r="AC131" s="62" t="s">
        <v>106</v>
      </c>
      <c r="AD131" s="67">
        <v>740</v>
      </c>
      <c r="AE131" s="67">
        <v>740</v>
      </c>
      <c r="AF131" s="67">
        <v>740</v>
      </c>
      <c r="AG131" s="67">
        <v>740</v>
      </c>
      <c r="AH131" s="67">
        <v>740</v>
      </c>
      <c r="AI131" s="67">
        <v>740</v>
      </c>
      <c r="AJ131" s="58">
        <f>SUM(AE131)</f>
        <v>740</v>
      </c>
      <c r="AK131" s="49">
        <v>2027</v>
      </c>
    </row>
    <row r="132" spans="1:37" s="35" customFormat="1" ht="75" customHeight="1">
      <c r="A132" s="247"/>
      <c r="B132" s="185">
        <v>0</v>
      </c>
      <c r="C132" s="185">
        <v>2</v>
      </c>
      <c r="D132" s="185">
        <v>9</v>
      </c>
      <c r="E132" s="185">
        <v>0</v>
      </c>
      <c r="F132" s="185">
        <v>7</v>
      </c>
      <c r="G132" s="185">
        <v>0</v>
      </c>
      <c r="H132" s="185">
        <v>5</v>
      </c>
      <c r="I132" s="185">
        <v>1</v>
      </c>
      <c r="J132" s="185">
        <v>2</v>
      </c>
      <c r="K132" s="185">
        <v>1</v>
      </c>
      <c r="L132" s="185">
        <v>0</v>
      </c>
      <c r="M132" s="185">
        <v>5</v>
      </c>
      <c r="N132" s="185">
        <v>2</v>
      </c>
      <c r="O132" s="185">
        <v>0</v>
      </c>
      <c r="P132" s="185">
        <v>1</v>
      </c>
      <c r="Q132" s="185">
        <v>4</v>
      </c>
      <c r="R132" s="185" t="s">
        <v>74</v>
      </c>
      <c r="S132" s="185">
        <v>1</v>
      </c>
      <c r="T132" s="185">
        <v>2</v>
      </c>
      <c r="U132" s="185">
        <v>1</v>
      </c>
      <c r="V132" s="185">
        <v>0</v>
      </c>
      <c r="W132" s="185">
        <v>5</v>
      </c>
      <c r="X132" s="185">
        <v>0</v>
      </c>
      <c r="Y132" s="185">
        <v>2</v>
      </c>
      <c r="Z132" s="185">
        <v>0</v>
      </c>
      <c r="AA132" s="185">
        <v>0</v>
      </c>
      <c r="AB132" s="148" t="s">
        <v>32</v>
      </c>
      <c r="AC132" s="151" t="s">
        <v>96</v>
      </c>
      <c r="AD132" s="146"/>
      <c r="AE132" s="146"/>
      <c r="AF132" s="146"/>
      <c r="AG132" s="146"/>
      <c r="AH132" s="146"/>
      <c r="AI132" s="146"/>
      <c r="AJ132" s="147"/>
      <c r="AK132" s="136"/>
    </row>
    <row r="133" spans="1:37" s="35" customFormat="1" ht="61.5" customHeight="1">
      <c r="A133" s="247"/>
      <c r="B133" s="185"/>
      <c r="C133" s="185"/>
      <c r="D133" s="185"/>
      <c r="E133" s="185"/>
      <c r="F133" s="185"/>
      <c r="G133" s="185"/>
      <c r="H133" s="185"/>
      <c r="I133" s="185"/>
      <c r="J133" s="185"/>
      <c r="K133" s="185"/>
      <c r="L133" s="185"/>
      <c r="M133" s="185"/>
      <c r="N133" s="185"/>
      <c r="O133" s="185"/>
      <c r="P133" s="185"/>
      <c r="Q133" s="185"/>
      <c r="R133" s="185"/>
      <c r="S133" s="185">
        <v>1</v>
      </c>
      <c r="T133" s="185">
        <v>2</v>
      </c>
      <c r="U133" s="185">
        <v>1</v>
      </c>
      <c r="V133" s="185">
        <v>0</v>
      </c>
      <c r="W133" s="185">
        <v>5</v>
      </c>
      <c r="X133" s="185">
        <v>0</v>
      </c>
      <c r="Y133" s="185">
        <v>2</v>
      </c>
      <c r="Z133" s="185">
        <v>0</v>
      </c>
      <c r="AA133" s="185">
        <v>1</v>
      </c>
      <c r="AB133" s="77" t="s">
        <v>150</v>
      </c>
      <c r="AC133" s="62" t="s">
        <v>106</v>
      </c>
      <c r="AD133" s="105" t="s">
        <v>160</v>
      </c>
      <c r="AE133" s="101">
        <v>50</v>
      </c>
      <c r="AF133" s="105" t="s">
        <v>160</v>
      </c>
      <c r="AG133" s="105" t="s">
        <v>160</v>
      </c>
      <c r="AH133" s="105" t="s">
        <v>160</v>
      </c>
      <c r="AI133" s="105" t="s">
        <v>160</v>
      </c>
      <c r="AJ133" s="106" t="s">
        <v>221</v>
      </c>
      <c r="AK133" s="49">
        <v>2027</v>
      </c>
    </row>
    <row r="134" spans="1:37" s="35" customFormat="1" ht="77.25" customHeight="1">
      <c r="A134" s="247"/>
      <c r="B134" s="185">
        <v>0</v>
      </c>
      <c r="C134" s="185">
        <v>2</v>
      </c>
      <c r="D134" s="185">
        <v>9</v>
      </c>
      <c r="E134" s="185">
        <v>0</v>
      </c>
      <c r="F134" s="185">
        <v>7</v>
      </c>
      <c r="G134" s="185">
        <v>0</v>
      </c>
      <c r="H134" s="185">
        <v>9</v>
      </c>
      <c r="I134" s="185">
        <v>1</v>
      </c>
      <c r="J134" s="185">
        <v>2</v>
      </c>
      <c r="K134" s="185">
        <v>1</v>
      </c>
      <c r="L134" s="185">
        <v>0</v>
      </c>
      <c r="M134" s="185">
        <v>5</v>
      </c>
      <c r="N134" s="185">
        <v>1</v>
      </c>
      <c r="O134" s="185">
        <v>1</v>
      </c>
      <c r="P134" s="185">
        <v>0</v>
      </c>
      <c r="Q134" s="185">
        <v>8</v>
      </c>
      <c r="R134" s="185" t="s">
        <v>71</v>
      </c>
      <c r="S134" s="185">
        <v>1</v>
      </c>
      <c r="T134" s="185">
        <v>2</v>
      </c>
      <c r="U134" s="185">
        <v>1</v>
      </c>
      <c r="V134" s="185">
        <v>0</v>
      </c>
      <c r="W134" s="185">
        <v>5</v>
      </c>
      <c r="X134" s="185">
        <v>0</v>
      </c>
      <c r="Y134" s="185">
        <v>3</v>
      </c>
      <c r="Z134" s="185">
        <v>0</v>
      </c>
      <c r="AA134" s="185">
        <v>0</v>
      </c>
      <c r="AB134" s="141" t="s">
        <v>251</v>
      </c>
      <c r="AC134" s="153" t="s">
        <v>96</v>
      </c>
      <c r="AD134" s="137">
        <v>154500</v>
      </c>
      <c r="AE134" s="137">
        <v>157700</v>
      </c>
      <c r="AF134" s="137">
        <f>157700-30800</f>
        <v>126900</v>
      </c>
      <c r="AG134" s="137">
        <f>157700-30800</f>
        <v>126900</v>
      </c>
      <c r="AH134" s="137">
        <f>154500-27600</f>
        <v>126900</v>
      </c>
      <c r="AI134" s="137">
        <v>154500</v>
      </c>
      <c r="AJ134" s="138">
        <f>SUM(AD134:AI134)</f>
        <v>847400</v>
      </c>
      <c r="AK134" s="136">
        <v>2027</v>
      </c>
    </row>
    <row r="135" spans="1:37" s="35" customFormat="1" ht="30" customHeight="1">
      <c r="A135" s="247"/>
      <c r="B135" s="185">
        <v>0</v>
      </c>
      <c r="C135" s="185">
        <v>2</v>
      </c>
      <c r="D135" s="185">
        <v>9</v>
      </c>
      <c r="E135" s="185">
        <v>0</v>
      </c>
      <c r="F135" s="185">
        <v>7</v>
      </c>
      <c r="G135" s="185">
        <v>0</v>
      </c>
      <c r="H135" s="185">
        <v>9</v>
      </c>
      <c r="I135" s="185">
        <v>1</v>
      </c>
      <c r="J135" s="185">
        <v>2</v>
      </c>
      <c r="K135" s="185">
        <v>1</v>
      </c>
      <c r="L135" s="185">
        <v>0</v>
      </c>
      <c r="M135" s="185">
        <v>5</v>
      </c>
      <c r="N135" s="185" t="s">
        <v>75</v>
      </c>
      <c r="O135" s="185">
        <v>1</v>
      </c>
      <c r="P135" s="185">
        <v>0</v>
      </c>
      <c r="Q135" s="185">
        <v>8</v>
      </c>
      <c r="R135" s="185" t="s">
        <v>71</v>
      </c>
      <c r="S135" s="185">
        <v>1</v>
      </c>
      <c r="T135" s="185">
        <v>2</v>
      </c>
      <c r="U135" s="185">
        <v>1</v>
      </c>
      <c r="V135" s="185">
        <v>0</v>
      </c>
      <c r="W135" s="185">
        <v>5</v>
      </c>
      <c r="X135" s="185">
        <v>0</v>
      </c>
      <c r="Y135" s="185">
        <v>3</v>
      </c>
      <c r="Z135" s="185">
        <v>0</v>
      </c>
      <c r="AA135" s="185">
        <v>0</v>
      </c>
      <c r="AB135" s="141" t="s">
        <v>224</v>
      </c>
      <c r="AC135" s="153" t="s">
        <v>96</v>
      </c>
      <c r="AD135" s="137">
        <f>17166.67+14030.45</f>
        <v>31197.12</v>
      </c>
      <c r="AE135" s="137">
        <f>17166.67+14030.45+4602.88</f>
        <v>35800</v>
      </c>
      <c r="AF135" s="137">
        <f>17166.67+14030.45+4602.88-10175.96</f>
        <v>25624.04</v>
      </c>
      <c r="AG135" s="137">
        <f>17166.67+14030.45+4602.88-10175.96</f>
        <v>25624.04</v>
      </c>
      <c r="AH135" s="137">
        <f>17166.67+14030.45-5573.08</f>
        <v>25624.04</v>
      </c>
      <c r="AI135" s="137">
        <f>17166.67+14030.45</f>
        <v>31197.12</v>
      </c>
      <c r="AJ135" s="138">
        <f>SUM(AD135:AI135)</f>
        <v>175066.36000000002</v>
      </c>
      <c r="AK135" s="136">
        <v>2027</v>
      </c>
    </row>
    <row r="136" spans="1:37" s="35" customFormat="1" ht="68.25" customHeight="1">
      <c r="A136" s="247"/>
      <c r="B136" s="185"/>
      <c r="C136" s="185"/>
      <c r="D136" s="185"/>
      <c r="E136" s="185"/>
      <c r="F136" s="185"/>
      <c r="G136" s="185"/>
      <c r="H136" s="185"/>
      <c r="I136" s="185"/>
      <c r="J136" s="185"/>
      <c r="K136" s="185"/>
      <c r="L136" s="185"/>
      <c r="M136" s="185"/>
      <c r="N136" s="185"/>
      <c r="O136" s="185"/>
      <c r="P136" s="185"/>
      <c r="Q136" s="185"/>
      <c r="R136" s="185"/>
      <c r="S136" s="185">
        <v>1</v>
      </c>
      <c r="T136" s="185">
        <v>2</v>
      </c>
      <c r="U136" s="185">
        <v>1</v>
      </c>
      <c r="V136" s="185">
        <v>0</v>
      </c>
      <c r="W136" s="185">
        <v>5</v>
      </c>
      <c r="X136" s="185">
        <v>0</v>
      </c>
      <c r="Y136" s="185">
        <v>3</v>
      </c>
      <c r="Z136" s="185">
        <v>0</v>
      </c>
      <c r="AA136" s="185">
        <v>1</v>
      </c>
      <c r="AB136" s="80" t="s">
        <v>252</v>
      </c>
      <c r="AC136" s="180" t="s">
        <v>107</v>
      </c>
      <c r="AD136" s="105" t="s">
        <v>264</v>
      </c>
      <c r="AE136" s="105" t="s">
        <v>264</v>
      </c>
      <c r="AF136" s="105" t="s">
        <v>264</v>
      </c>
      <c r="AG136" s="105" t="s">
        <v>264</v>
      </c>
      <c r="AH136" s="105" t="s">
        <v>264</v>
      </c>
      <c r="AI136" s="105" t="s">
        <v>264</v>
      </c>
      <c r="AJ136" s="123" t="s">
        <v>265</v>
      </c>
      <c r="AK136" s="49">
        <v>2027</v>
      </c>
    </row>
    <row r="137" spans="1:37" s="35" customFormat="1" ht="48.75" customHeight="1">
      <c r="A137" s="247"/>
      <c r="B137" s="185">
        <v>0</v>
      </c>
      <c r="C137" s="185">
        <v>2</v>
      </c>
      <c r="D137" s="185">
        <v>9</v>
      </c>
      <c r="E137" s="185">
        <v>0</v>
      </c>
      <c r="F137" s="185">
        <v>7</v>
      </c>
      <c r="G137" s="185">
        <v>0</v>
      </c>
      <c r="H137" s="185">
        <v>9</v>
      </c>
      <c r="I137" s="185">
        <v>1</v>
      </c>
      <c r="J137" s="185">
        <v>2</v>
      </c>
      <c r="K137" s="185">
        <v>1</v>
      </c>
      <c r="L137" s="185">
        <v>0</v>
      </c>
      <c r="M137" s="185">
        <v>5</v>
      </c>
      <c r="N137" s="185">
        <v>2</v>
      </c>
      <c r="O137" s="185">
        <v>0</v>
      </c>
      <c r="P137" s="185">
        <v>0</v>
      </c>
      <c r="Q137" s="185">
        <v>2</v>
      </c>
      <c r="R137" s="185" t="s">
        <v>71</v>
      </c>
      <c r="S137" s="185">
        <v>1</v>
      </c>
      <c r="T137" s="185">
        <v>2</v>
      </c>
      <c r="U137" s="185">
        <v>1</v>
      </c>
      <c r="V137" s="185">
        <v>0</v>
      </c>
      <c r="W137" s="185">
        <v>5</v>
      </c>
      <c r="X137" s="185">
        <v>0</v>
      </c>
      <c r="Y137" s="185">
        <v>4</v>
      </c>
      <c r="Z137" s="185">
        <v>0</v>
      </c>
      <c r="AA137" s="185">
        <v>0</v>
      </c>
      <c r="AB137" s="201" t="s">
        <v>288</v>
      </c>
      <c r="AC137" s="153" t="s">
        <v>266</v>
      </c>
      <c r="AD137" s="210">
        <v>26000</v>
      </c>
      <c r="AE137" s="210">
        <v>36000</v>
      </c>
      <c r="AF137" s="210">
        <v>0</v>
      </c>
      <c r="AG137" s="210">
        <v>0</v>
      </c>
      <c r="AH137" s="210">
        <v>0</v>
      </c>
      <c r="AI137" s="210">
        <v>0</v>
      </c>
      <c r="AJ137" s="211">
        <f>SUM(AD137:AI137)</f>
        <v>62000</v>
      </c>
      <c r="AK137" s="202" t="s">
        <v>304</v>
      </c>
    </row>
    <row r="138" spans="1:37" s="35" customFormat="1" ht="68.25" customHeight="1">
      <c r="A138" s="247"/>
      <c r="B138" s="185"/>
      <c r="C138" s="185"/>
      <c r="D138" s="185"/>
      <c r="E138" s="185"/>
      <c r="F138" s="185"/>
      <c r="G138" s="185"/>
      <c r="H138" s="185"/>
      <c r="I138" s="185"/>
      <c r="J138" s="185"/>
      <c r="K138" s="185"/>
      <c r="L138" s="185"/>
      <c r="M138" s="185"/>
      <c r="N138" s="185"/>
      <c r="O138" s="185"/>
      <c r="P138" s="185"/>
      <c r="Q138" s="185"/>
      <c r="R138" s="185"/>
      <c r="S138" s="185">
        <v>1</v>
      </c>
      <c r="T138" s="185">
        <v>2</v>
      </c>
      <c r="U138" s="185">
        <v>1</v>
      </c>
      <c r="V138" s="185">
        <v>0</v>
      </c>
      <c r="W138" s="185">
        <v>5</v>
      </c>
      <c r="X138" s="185">
        <v>0</v>
      </c>
      <c r="Y138" s="185">
        <v>4</v>
      </c>
      <c r="Z138" s="185">
        <v>0</v>
      </c>
      <c r="AA138" s="185">
        <v>1</v>
      </c>
      <c r="AB138" s="66" t="s">
        <v>289</v>
      </c>
      <c r="AC138" s="180" t="s">
        <v>95</v>
      </c>
      <c r="AD138" s="105" t="s">
        <v>287</v>
      </c>
      <c r="AE138" s="105" t="s">
        <v>286</v>
      </c>
      <c r="AF138" s="105" t="s">
        <v>286</v>
      </c>
      <c r="AG138" s="105" t="s">
        <v>286</v>
      </c>
      <c r="AH138" s="105" t="s">
        <v>286</v>
      </c>
      <c r="AI138" s="105" t="s">
        <v>286</v>
      </c>
      <c r="AJ138" s="123" t="s">
        <v>287</v>
      </c>
      <c r="AK138" s="49">
        <v>2022</v>
      </c>
    </row>
    <row r="139" spans="1:37" s="35" customFormat="1" ht="39" customHeight="1">
      <c r="A139" s="247"/>
      <c r="B139" s="185"/>
      <c r="C139" s="185"/>
      <c r="D139" s="185"/>
      <c r="E139" s="185"/>
      <c r="F139" s="185"/>
      <c r="G139" s="185"/>
      <c r="H139" s="185"/>
      <c r="I139" s="185"/>
      <c r="J139" s="185"/>
      <c r="K139" s="185"/>
      <c r="L139" s="185"/>
      <c r="M139" s="185"/>
      <c r="N139" s="185"/>
      <c r="O139" s="185"/>
      <c r="P139" s="185"/>
      <c r="Q139" s="185"/>
      <c r="R139" s="185"/>
      <c r="S139" s="185">
        <v>1</v>
      </c>
      <c r="T139" s="185">
        <v>2</v>
      </c>
      <c r="U139" s="185">
        <v>2</v>
      </c>
      <c r="V139" s="185">
        <v>0</v>
      </c>
      <c r="W139" s="185">
        <v>0</v>
      </c>
      <c r="X139" s="185">
        <v>0</v>
      </c>
      <c r="Y139" s="185">
        <v>0</v>
      </c>
      <c r="Z139" s="185">
        <v>0</v>
      </c>
      <c r="AA139" s="185">
        <v>0</v>
      </c>
      <c r="AB139" s="78" t="s">
        <v>172</v>
      </c>
      <c r="AC139" s="154" t="s">
        <v>96</v>
      </c>
      <c r="AD139" s="155">
        <f>SUM(AD140)</f>
        <v>141169528.13000003</v>
      </c>
      <c r="AE139" s="155">
        <f>AE140</f>
        <v>147932712.16000003</v>
      </c>
      <c r="AF139" s="155">
        <f>AF140</f>
        <v>161703797.13</v>
      </c>
      <c r="AG139" s="155">
        <f>AG140</f>
        <v>160557843.24</v>
      </c>
      <c r="AH139" s="155">
        <f>AH140</f>
        <v>156571030.7</v>
      </c>
      <c r="AI139" s="155">
        <f>AI140</f>
        <v>104421995.34</v>
      </c>
      <c r="AJ139" s="155">
        <f>SUM(AD139:AI139)</f>
        <v>872356906.7000002</v>
      </c>
      <c r="AK139" s="88">
        <v>2027</v>
      </c>
    </row>
    <row r="140" spans="1:37" s="35" customFormat="1" ht="39" customHeight="1">
      <c r="A140" s="247"/>
      <c r="B140" s="185"/>
      <c r="C140" s="185"/>
      <c r="D140" s="185"/>
      <c r="E140" s="185"/>
      <c r="F140" s="185"/>
      <c r="G140" s="185"/>
      <c r="H140" s="185"/>
      <c r="I140" s="185"/>
      <c r="J140" s="185"/>
      <c r="K140" s="185"/>
      <c r="L140" s="185"/>
      <c r="M140" s="185"/>
      <c r="N140" s="185"/>
      <c r="O140" s="185"/>
      <c r="P140" s="185"/>
      <c r="Q140" s="185"/>
      <c r="R140" s="185"/>
      <c r="S140" s="185"/>
      <c r="T140" s="185"/>
      <c r="U140" s="185"/>
      <c r="V140" s="185"/>
      <c r="W140" s="185"/>
      <c r="X140" s="185"/>
      <c r="Y140" s="185"/>
      <c r="Z140" s="185"/>
      <c r="AA140" s="185"/>
      <c r="AB140" s="78" t="s">
        <v>174</v>
      </c>
      <c r="AC140" s="154"/>
      <c r="AD140" s="155">
        <f>AD147+AD149+AD153+AD154+AD177+AD157+AD159+AD163+AD165</f>
        <v>141169528.13000003</v>
      </c>
      <c r="AE140" s="155">
        <f>AE141+AE169</f>
        <v>147932712.16000003</v>
      </c>
      <c r="AF140" s="155">
        <f>AF141+AF169</f>
        <v>161703797.13</v>
      </c>
      <c r="AG140" s="155">
        <f>AG141+AG169</f>
        <v>160557843.24</v>
      </c>
      <c r="AH140" s="155">
        <f>AH141+AH169</f>
        <v>156571030.7</v>
      </c>
      <c r="AI140" s="155">
        <f>AI141+AI169</f>
        <v>104421995.34</v>
      </c>
      <c r="AJ140" s="155">
        <f>SUM(AD140:AI140)</f>
        <v>872356906.7000002</v>
      </c>
      <c r="AK140" s="88">
        <v>2027</v>
      </c>
    </row>
    <row r="141" spans="1:37" s="35" customFormat="1" ht="45">
      <c r="A141" s="247"/>
      <c r="B141" s="185"/>
      <c r="C141" s="185"/>
      <c r="D141" s="185"/>
      <c r="E141" s="185"/>
      <c r="F141" s="185"/>
      <c r="G141" s="185"/>
      <c r="H141" s="185"/>
      <c r="I141" s="185"/>
      <c r="J141" s="185"/>
      <c r="K141" s="185"/>
      <c r="L141" s="185"/>
      <c r="M141" s="185"/>
      <c r="N141" s="185"/>
      <c r="O141" s="185"/>
      <c r="P141" s="185"/>
      <c r="Q141" s="185"/>
      <c r="R141" s="185"/>
      <c r="S141" s="185">
        <v>1</v>
      </c>
      <c r="T141" s="185">
        <v>2</v>
      </c>
      <c r="U141" s="185">
        <v>2</v>
      </c>
      <c r="V141" s="185">
        <v>0</v>
      </c>
      <c r="W141" s="185">
        <v>1</v>
      </c>
      <c r="X141" s="185">
        <v>0</v>
      </c>
      <c r="Y141" s="185">
        <v>0</v>
      </c>
      <c r="Z141" s="185">
        <v>0</v>
      </c>
      <c r="AA141" s="185">
        <v>0</v>
      </c>
      <c r="AB141" s="127" t="s">
        <v>178</v>
      </c>
      <c r="AC141" s="144"/>
      <c r="AD141" s="213">
        <f>AD147+AD149+AD153+AD154+AD157+AD159+AD163+AD165</f>
        <v>138647348.13000003</v>
      </c>
      <c r="AE141" s="213">
        <f>AE147+AE149+AE153+AE154+AE157+AE163+AE165+AE167+AE159</f>
        <v>144713412.16000003</v>
      </c>
      <c r="AF141" s="213">
        <f>AF147+AF149+AF153+AF154+AF157+AF163+AF165+AF167+AF159</f>
        <v>157630197.13</v>
      </c>
      <c r="AG141" s="213">
        <f>AG147+AG149+AG153+AG154+AG157+AG163+AG165+AG167+AG159</f>
        <v>156484243.24</v>
      </c>
      <c r="AH141" s="213">
        <f>AH147+AH149+AH153+AH154+AH157+AH163+AH165+AH167+AH159</f>
        <v>152497430.7</v>
      </c>
      <c r="AI141" s="213">
        <f>AI147+AI149+AI153+AI154+AI157+AI163+AI165+AI167+AI159</f>
        <v>101181695.34</v>
      </c>
      <c r="AJ141" s="212">
        <f>SUM(AD141:AI141)</f>
        <v>851154326.7000002</v>
      </c>
      <c r="AK141" s="121">
        <v>2027</v>
      </c>
    </row>
    <row r="142" spans="1:37" s="35" customFormat="1" ht="67.5" customHeight="1">
      <c r="A142" s="247"/>
      <c r="B142" s="185"/>
      <c r="C142" s="185"/>
      <c r="D142" s="185"/>
      <c r="E142" s="185"/>
      <c r="F142" s="185"/>
      <c r="G142" s="185"/>
      <c r="H142" s="185"/>
      <c r="I142" s="185"/>
      <c r="J142" s="185"/>
      <c r="K142" s="185"/>
      <c r="L142" s="185"/>
      <c r="M142" s="185"/>
      <c r="N142" s="185"/>
      <c r="O142" s="185"/>
      <c r="P142" s="185"/>
      <c r="Q142" s="185"/>
      <c r="R142" s="185"/>
      <c r="S142" s="185">
        <v>1</v>
      </c>
      <c r="T142" s="185">
        <v>2</v>
      </c>
      <c r="U142" s="185">
        <v>2</v>
      </c>
      <c r="V142" s="185">
        <v>0</v>
      </c>
      <c r="W142" s="185">
        <v>1</v>
      </c>
      <c r="X142" s="185">
        <v>0</v>
      </c>
      <c r="Y142" s="185">
        <v>0</v>
      </c>
      <c r="Z142" s="185">
        <v>0</v>
      </c>
      <c r="AA142" s="185">
        <v>1</v>
      </c>
      <c r="AB142" s="77" t="s">
        <v>1</v>
      </c>
      <c r="AC142" s="50" t="s">
        <v>94</v>
      </c>
      <c r="AD142" s="37">
        <v>100</v>
      </c>
      <c r="AE142" s="37">
        <v>100</v>
      </c>
      <c r="AF142" s="37">
        <v>100</v>
      </c>
      <c r="AG142" s="37">
        <v>100</v>
      </c>
      <c r="AH142" s="37">
        <v>100</v>
      </c>
      <c r="AI142" s="37">
        <v>100</v>
      </c>
      <c r="AJ142" s="37">
        <v>100</v>
      </c>
      <c r="AK142" s="49">
        <v>2027</v>
      </c>
    </row>
    <row r="143" spans="1:37" s="35" customFormat="1" ht="68.25" customHeight="1">
      <c r="A143" s="247"/>
      <c r="B143" s="185"/>
      <c r="C143" s="185"/>
      <c r="D143" s="185"/>
      <c r="E143" s="185"/>
      <c r="F143" s="185"/>
      <c r="G143" s="185"/>
      <c r="H143" s="185"/>
      <c r="I143" s="185"/>
      <c r="J143" s="185"/>
      <c r="K143" s="185"/>
      <c r="L143" s="185"/>
      <c r="M143" s="185"/>
      <c r="N143" s="185"/>
      <c r="O143" s="185"/>
      <c r="P143" s="185"/>
      <c r="Q143" s="185"/>
      <c r="R143" s="185"/>
      <c r="S143" s="185">
        <v>1</v>
      </c>
      <c r="T143" s="185">
        <v>2</v>
      </c>
      <c r="U143" s="185">
        <v>2</v>
      </c>
      <c r="V143" s="185">
        <v>0</v>
      </c>
      <c r="W143" s="185">
        <v>1</v>
      </c>
      <c r="X143" s="185">
        <v>0</v>
      </c>
      <c r="Y143" s="185">
        <v>0</v>
      </c>
      <c r="Z143" s="185">
        <v>0</v>
      </c>
      <c r="AA143" s="185">
        <v>2</v>
      </c>
      <c r="AB143" s="82" t="s">
        <v>179</v>
      </c>
      <c r="AC143" s="52" t="s">
        <v>94</v>
      </c>
      <c r="AD143" s="179">
        <f>(AD147+AD153+AD154+AD177)/AD21*100</f>
        <v>36.15172331317692</v>
      </c>
      <c r="AE143" s="179">
        <f>(AE147+AE149+AE153+AE154+AE177)/AE21*100</f>
        <v>36.13536022086173</v>
      </c>
      <c r="AF143" s="179">
        <f>(AF147+AF153+AF154+AF177)/AF21*100</f>
        <v>36.36786529919165</v>
      </c>
      <c r="AG143" s="179">
        <f>(AG147+AG153+AG154+AG177)/AG21*100</f>
        <v>36.839117331069374</v>
      </c>
      <c r="AH143" s="179">
        <f>(AH147+AH153+AH154+AH177)/AH21*100</f>
        <v>36.70053529287088</v>
      </c>
      <c r="AI143" s="179">
        <f>(AI147+AI153+AI154+AI177)/AI21*100</f>
        <v>33.040928224883515</v>
      </c>
      <c r="AJ143" s="179">
        <f>(AJ147+AJ153+AJ154+AJ177)/AJ21*100</f>
        <v>35.98625582519247</v>
      </c>
      <c r="AK143" s="87">
        <v>2027</v>
      </c>
    </row>
    <row r="144" spans="1:37" s="35" customFormat="1" ht="48.75" customHeight="1">
      <c r="A144" s="247"/>
      <c r="B144" s="185"/>
      <c r="C144" s="185"/>
      <c r="D144" s="185"/>
      <c r="E144" s="185"/>
      <c r="F144" s="185"/>
      <c r="G144" s="185"/>
      <c r="H144" s="185"/>
      <c r="I144" s="185"/>
      <c r="J144" s="185"/>
      <c r="K144" s="185"/>
      <c r="L144" s="185"/>
      <c r="M144" s="185"/>
      <c r="N144" s="185"/>
      <c r="O144" s="185"/>
      <c r="P144" s="185"/>
      <c r="Q144" s="185"/>
      <c r="R144" s="185"/>
      <c r="S144" s="185">
        <v>1</v>
      </c>
      <c r="T144" s="185">
        <v>2</v>
      </c>
      <c r="U144" s="185">
        <v>2</v>
      </c>
      <c r="V144" s="185">
        <v>0</v>
      </c>
      <c r="W144" s="185">
        <v>1</v>
      </c>
      <c r="X144" s="185">
        <v>0</v>
      </c>
      <c r="Y144" s="185">
        <v>0</v>
      </c>
      <c r="Z144" s="185">
        <v>0</v>
      </c>
      <c r="AA144" s="185">
        <v>3</v>
      </c>
      <c r="AB144" s="77" t="s">
        <v>10</v>
      </c>
      <c r="AC144" s="50" t="s">
        <v>95</v>
      </c>
      <c r="AD144" s="37">
        <v>0</v>
      </c>
      <c r="AE144" s="37">
        <v>0</v>
      </c>
      <c r="AF144" s="37">
        <v>0</v>
      </c>
      <c r="AG144" s="37">
        <v>0</v>
      </c>
      <c r="AH144" s="37">
        <v>0</v>
      </c>
      <c r="AI144" s="37">
        <v>0</v>
      </c>
      <c r="AJ144" s="58">
        <v>0</v>
      </c>
      <c r="AK144" s="49">
        <v>2027</v>
      </c>
    </row>
    <row r="145" spans="1:37" s="35" customFormat="1" ht="45">
      <c r="A145" s="247"/>
      <c r="B145" s="195"/>
      <c r="C145" s="195"/>
      <c r="D145" s="195"/>
      <c r="E145" s="195"/>
      <c r="F145" s="195"/>
      <c r="G145" s="195"/>
      <c r="H145" s="195"/>
      <c r="I145" s="195"/>
      <c r="J145" s="195"/>
      <c r="K145" s="195"/>
      <c r="L145" s="195"/>
      <c r="M145" s="195"/>
      <c r="N145" s="195"/>
      <c r="O145" s="195"/>
      <c r="P145" s="185"/>
      <c r="Q145" s="185"/>
      <c r="R145" s="185"/>
      <c r="S145" s="185">
        <v>1</v>
      </c>
      <c r="T145" s="185">
        <v>2</v>
      </c>
      <c r="U145" s="185">
        <v>2</v>
      </c>
      <c r="V145" s="185">
        <v>0</v>
      </c>
      <c r="W145" s="185">
        <v>1</v>
      </c>
      <c r="X145" s="185">
        <v>0</v>
      </c>
      <c r="Y145" s="185">
        <v>0</v>
      </c>
      <c r="Z145" s="185">
        <v>0</v>
      </c>
      <c r="AA145" s="185">
        <v>4</v>
      </c>
      <c r="AB145" s="82" t="s">
        <v>11</v>
      </c>
      <c r="AC145" s="52" t="s">
        <v>95</v>
      </c>
      <c r="AD145" s="97" t="s">
        <v>271</v>
      </c>
      <c r="AE145" s="97" t="s">
        <v>271</v>
      </c>
      <c r="AF145" s="97" t="s">
        <v>271</v>
      </c>
      <c r="AG145" s="97" t="s">
        <v>271</v>
      </c>
      <c r="AH145" s="97" t="s">
        <v>271</v>
      </c>
      <c r="AI145" s="97" t="s">
        <v>271</v>
      </c>
      <c r="AJ145" s="97" t="s">
        <v>271</v>
      </c>
      <c r="AK145" s="87">
        <v>2027</v>
      </c>
    </row>
    <row r="146" spans="1:37" s="35" customFormat="1" ht="60">
      <c r="A146" s="247"/>
      <c r="B146" s="195"/>
      <c r="C146" s="195"/>
      <c r="D146" s="195"/>
      <c r="E146" s="195"/>
      <c r="F146" s="195"/>
      <c r="G146" s="195"/>
      <c r="H146" s="195"/>
      <c r="I146" s="195"/>
      <c r="J146" s="195"/>
      <c r="K146" s="195"/>
      <c r="L146" s="195"/>
      <c r="M146" s="195"/>
      <c r="N146" s="195"/>
      <c r="O146" s="195"/>
      <c r="P146" s="185"/>
      <c r="Q146" s="185"/>
      <c r="R146" s="185"/>
      <c r="S146" s="185">
        <v>1</v>
      </c>
      <c r="T146" s="185">
        <v>2</v>
      </c>
      <c r="U146" s="185">
        <v>2</v>
      </c>
      <c r="V146" s="185">
        <v>0</v>
      </c>
      <c r="W146" s="185">
        <v>1</v>
      </c>
      <c r="X146" s="185">
        <v>0</v>
      </c>
      <c r="Y146" s="185">
        <v>0</v>
      </c>
      <c r="Z146" s="185">
        <v>0</v>
      </c>
      <c r="AA146" s="185">
        <v>5</v>
      </c>
      <c r="AB146" s="77" t="s">
        <v>12</v>
      </c>
      <c r="AC146" s="50" t="s">
        <v>94</v>
      </c>
      <c r="AD146" s="37">
        <v>100</v>
      </c>
      <c r="AE146" s="37">
        <v>100</v>
      </c>
      <c r="AF146" s="37">
        <v>100</v>
      </c>
      <c r="AG146" s="37">
        <v>100</v>
      </c>
      <c r="AH146" s="37">
        <v>100</v>
      </c>
      <c r="AI146" s="37">
        <v>100</v>
      </c>
      <c r="AJ146" s="37">
        <v>100</v>
      </c>
      <c r="AK146" s="49">
        <v>2027</v>
      </c>
    </row>
    <row r="147" spans="1:37" s="35" customFormat="1" ht="114.75" customHeight="1">
      <c r="A147" s="247"/>
      <c r="B147" s="195">
        <v>0</v>
      </c>
      <c r="C147" s="195">
        <v>2</v>
      </c>
      <c r="D147" s="195">
        <v>9</v>
      </c>
      <c r="E147" s="195">
        <v>0</v>
      </c>
      <c r="F147" s="195">
        <v>7</v>
      </c>
      <c r="G147" s="195">
        <v>0</v>
      </c>
      <c r="H147" s="195">
        <v>1</v>
      </c>
      <c r="I147" s="195">
        <v>1</v>
      </c>
      <c r="J147" s="195">
        <v>2</v>
      </c>
      <c r="K147" s="195">
        <v>2</v>
      </c>
      <c r="L147" s="195">
        <v>0</v>
      </c>
      <c r="M147" s="195">
        <v>3</v>
      </c>
      <c r="N147" s="195">
        <v>2</v>
      </c>
      <c r="O147" s="195">
        <v>0</v>
      </c>
      <c r="P147" s="185">
        <v>0</v>
      </c>
      <c r="Q147" s="185">
        <v>4</v>
      </c>
      <c r="R147" s="185" t="s">
        <v>74</v>
      </c>
      <c r="S147" s="185">
        <v>1</v>
      </c>
      <c r="T147" s="185">
        <v>2</v>
      </c>
      <c r="U147" s="185">
        <v>2</v>
      </c>
      <c r="V147" s="185">
        <v>0</v>
      </c>
      <c r="W147" s="185">
        <v>1</v>
      </c>
      <c r="X147" s="185">
        <v>0</v>
      </c>
      <c r="Y147" s="185">
        <v>1</v>
      </c>
      <c r="Z147" s="185">
        <v>0</v>
      </c>
      <c r="AA147" s="185">
        <v>0</v>
      </c>
      <c r="AB147" s="149" t="s">
        <v>173</v>
      </c>
      <c r="AC147" s="131" t="s">
        <v>96</v>
      </c>
      <c r="AD147" s="137">
        <f>797370+100000</f>
        <v>897370</v>
      </c>
      <c r="AE147" s="137">
        <f>1300000+150000</f>
        <v>1450000</v>
      </c>
      <c r="AF147" s="137">
        <f>360000+1013000</f>
        <v>1373000</v>
      </c>
      <c r="AG147" s="137">
        <f>360000-360000</f>
        <v>0</v>
      </c>
      <c r="AH147" s="137">
        <f>360000-360000</f>
        <v>0</v>
      </c>
      <c r="AI147" s="137">
        <v>360000</v>
      </c>
      <c r="AJ147" s="138">
        <f>SUM(AD147:AI147)</f>
        <v>4080370</v>
      </c>
      <c r="AK147" s="136">
        <v>2027</v>
      </c>
    </row>
    <row r="148" spans="1:37" s="35" customFormat="1" ht="111.75" customHeight="1">
      <c r="A148" s="247"/>
      <c r="B148" s="195"/>
      <c r="C148" s="195"/>
      <c r="D148" s="195"/>
      <c r="E148" s="195"/>
      <c r="F148" s="195"/>
      <c r="G148" s="195"/>
      <c r="H148" s="195"/>
      <c r="I148" s="195"/>
      <c r="J148" s="195"/>
      <c r="K148" s="195"/>
      <c r="L148" s="195"/>
      <c r="M148" s="195"/>
      <c r="N148" s="195"/>
      <c r="O148" s="195"/>
      <c r="P148" s="185"/>
      <c r="Q148" s="185"/>
      <c r="R148" s="185"/>
      <c r="S148" s="185">
        <v>1</v>
      </c>
      <c r="T148" s="185">
        <v>2</v>
      </c>
      <c r="U148" s="185">
        <v>2</v>
      </c>
      <c r="V148" s="185">
        <v>0</v>
      </c>
      <c r="W148" s="185">
        <v>1</v>
      </c>
      <c r="X148" s="185">
        <v>0</v>
      </c>
      <c r="Y148" s="185">
        <v>1</v>
      </c>
      <c r="Z148" s="185">
        <v>0</v>
      </c>
      <c r="AA148" s="185">
        <v>1</v>
      </c>
      <c r="AB148" s="113" t="s">
        <v>218</v>
      </c>
      <c r="AC148" s="50" t="s">
        <v>33</v>
      </c>
      <c r="AD148" s="37">
        <v>12</v>
      </c>
      <c r="AE148" s="37">
        <v>4</v>
      </c>
      <c r="AF148" s="97">
        <v>4</v>
      </c>
      <c r="AG148" s="97">
        <v>4</v>
      </c>
      <c r="AH148" s="97">
        <v>4</v>
      </c>
      <c r="AI148" s="97">
        <v>4</v>
      </c>
      <c r="AJ148" s="122">
        <f>SUM(AD148:AI148)</f>
        <v>32</v>
      </c>
      <c r="AK148" s="87">
        <v>2027</v>
      </c>
    </row>
    <row r="149" spans="1:37" s="35" customFormat="1" ht="111.75" customHeight="1">
      <c r="A149" s="247"/>
      <c r="B149" s="195">
        <v>0</v>
      </c>
      <c r="C149" s="195">
        <v>2</v>
      </c>
      <c r="D149" s="195">
        <v>9</v>
      </c>
      <c r="E149" s="195">
        <v>0</v>
      </c>
      <c r="F149" s="195">
        <v>7</v>
      </c>
      <c r="G149" s="195">
        <v>0</v>
      </c>
      <c r="H149" s="195">
        <v>1</v>
      </c>
      <c r="I149" s="195">
        <v>1</v>
      </c>
      <c r="J149" s="195">
        <v>2</v>
      </c>
      <c r="K149" s="195">
        <v>2</v>
      </c>
      <c r="L149" s="195">
        <v>0</v>
      </c>
      <c r="M149" s="195">
        <v>1</v>
      </c>
      <c r="N149" s="195" t="s">
        <v>75</v>
      </c>
      <c r="O149" s="195">
        <v>1</v>
      </c>
      <c r="P149" s="185">
        <v>0</v>
      </c>
      <c r="Q149" s="185">
        <v>4</v>
      </c>
      <c r="R149" s="185" t="s">
        <v>74</v>
      </c>
      <c r="S149" s="185">
        <v>1</v>
      </c>
      <c r="T149" s="185">
        <v>2</v>
      </c>
      <c r="U149" s="185">
        <v>2</v>
      </c>
      <c r="V149" s="185">
        <v>0</v>
      </c>
      <c r="W149" s="185">
        <v>1</v>
      </c>
      <c r="X149" s="185">
        <v>0</v>
      </c>
      <c r="Y149" s="185">
        <v>2</v>
      </c>
      <c r="Z149" s="185">
        <v>0</v>
      </c>
      <c r="AA149" s="185">
        <v>0</v>
      </c>
      <c r="AB149" s="141" t="s">
        <v>296</v>
      </c>
      <c r="AC149" s="131" t="s">
        <v>266</v>
      </c>
      <c r="AD149" s="134">
        <f>683720.8-28640-655080.8</f>
        <v>0</v>
      </c>
      <c r="AE149" s="171">
        <f>525532-142278.16</f>
        <v>383253.83999999997</v>
      </c>
      <c r="AF149" s="171">
        <f>89814.2-400</f>
        <v>89414.2</v>
      </c>
      <c r="AG149" s="171">
        <v>0</v>
      </c>
      <c r="AH149" s="171">
        <v>0</v>
      </c>
      <c r="AI149" s="171">
        <v>0</v>
      </c>
      <c r="AJ149" s="138">
        <f>SUM(AD149:AI149)</f>
        <v>472668.04</v>
      </c>
      <c r="AK149" s="136">
        <v>2024</v>
      </c>
    </row>
    <row r="150" spans="1:37" s="35" customFormat="1" ht="64.5" customHeight="1">
      <c r="A150" s="247"/>
      <c r="B150" s="195"/>
      <c r="C150" s="195"/>
      <c r="D150" s="195"/>
      <c r="E150" s="195"/>
      <c r="F150" s="195"/>
      <c r="G150" s="195"/>
      <c r="H150" s="195"/>
      <c r="I150" s="195"/>
      <c r="J150" s="195"/>
      <c r="K150" s="195"/>
      <c r="L150" s="195"/>
      <c r="M150" s="195"/>
      <c r="N150" s="195"/>
      <c r="O150" s="195"/>
      <c r="P150" s="185"/>
      <c r="Q150" s="185"/>
      <c r="R150" s="185"/>
      <c r="S150" s="185">
        <v>1</v>
      </c>
      <c r="T150" s="185">
        <v>2</v>
      </c>
      <c r="U150" s="185">
        <v>2</v>
      </c>
      <c r="V150" s="185">
        <v>0</v>
      </c>
      <c r="W150" s="185">
        <v>1</v>
      </c>
      <c r="X150" s="185">
        <v>0</v>
      </c>
      <c r="Y150" s="185">
        <v>2</v>
      </c>
      <c r="Z150" s="185">
        <v>0</v>
      </c>
      <c r="AA150" s="185">
        <v>1</v>
      </c>
      <c r="AB150" s="113" t="s">
        <v>269</v>
      </c>
      <c r="AC150" s="50" t="s">
        <v>95</v>
      </c>
      <c r="AD150" s="37">
        <v>0</v>
      </c>
      <c r="AE150" s="37">
        <v>1</v>
      </c>
      <c r="AF150" s="97">
        <v>1</v>
      </c>
      <c r="AG150" s="97">
        <v>0</v>
      </c>
      <c r="AH150" s="97">
        <v>0</v>
      </c>
      <c r="AI150" s="97">
        <v>0</v>
      </c>
      <c r="AJ150" s="122">
        <f>SUM(AD150:AI150)</f>
        <v>2</v>
      </c>
      <c r="AK150" s="87">
        <v>2024</v>
      </c>
    </row>
    <row r="151" spans="1:37" s="35" customFormat="1" ht="111.75" customHeight="1">
      <c r="A151" s="247"/>
      <c r="B151" s="195"/>
      <c r="C151" s="195"/>
      <c r="D151" s="195"/>
      <c r="E151" s="195"/>
      <c r="F151" s="195"/>
      <c r="G151" s="195"/>
      <c r="H151" s="195"/>
      <c r="I151" s="195"/>
      <c r="J151" s="195"/>
      <c r="K151" s="195"/>
      <c r="L151" s="195"/>
      <c r="M151" s="195"/>
      <c r="N151" s="195"/>
      <c r="O151" s="195"/>
      <c r="P151" s="185"/>
      <c r="Q151" s="185"/>
      <c r="R151" s="185"/>
      <c r="S151" s="185">
        <v>1</v>
      </c>
      <c r="T151" s="185">
        <v>2</v>
      </c>
      <c r="U151" s="185">
        <v>2</v>
      </c>
      <c r="V151" s="185">
        <v>0</v>
      </c>
      <c r="W151" s="185">
        <v>1</v>
      </c>
      <c r="X151" s="185">
        <v>0</v>
      </c>
      <c r="Y151" s="185">
        <v>2</v>
      </c>
      <c r="Z151" s="185">
        <v>0</v>
      </c>
      <c r="AA151" s="185">
        <v>2</v>
      </c>
      <c r="AB151" s="113" t="s">
        <v>334</v>
      </c>
      <c r="AC151" s="50" t="s">
        <v>94</v>
      </c>
      <c r="AD151" s="181">
        <v>0</v>
      </c>
      <c r="AE151" s="37">
        <v>2.37</v>
      </c>
      <c r="AF151" s="97">
        <v>11.94</v>
      </c>
      <c r="AG151" s="97">
        <v>0</v>
      </c>
      <c r="AH151" s="97">
        <v>0</v>
      </c>
      <c r="AI151" s="97">
        <v>0</v>
      </c>
      <c r="AJ151" s="182">
        <v>0.2</v>
      </c>
      <c r="AK151" s="87">
        <v>2024</v>
      </c>
    </row>
    <row r="152" spans="1:37" s="35" customFormat="1" ht="45.75" customHeight="1" hidden="1">
      <c r="A152" s="247"/>
      <c r="B152" s="185"/>
      <c r="C152" s="185"/>
      <c r="D152" s="185"/>
      <c r="E152" s="185"/>
      <c r="F152" s="185"/>
      <c r="G152" s="185"/>
      <c r="H152" s="185"/>
      <c r="I152" s="185"/>
      <c r="J152" s="185"/>
      <c r="K152" s="185"/>
      <c r="L152" s="195"/>
      <c r="M152" s="195"/>
      <c r="N152" s="195"/>
      <c r="O152" s="195"/>
      <c r="P152" s="185"/>
      <c r="Q152" s="185"/>
      <c r="R152" s="185"/>
      <c r="S152" s="185"/>
      <c r="T152" s="185"/>
      <c r="U152" s="185"/>
      <c r="V152" s="185"/>
      <c r="W152" s="185"/>
      <c r="X152" s="185"/>
      <c r="Y152" s="185"/>
      <c r="Z152" s="185"/>
      <c r="AA152" s="185"/>
      <c r="AB152" s="239" t="s">
        <v>267</v>
      </c>
      <c r="AC152" s="131" t="s">
        <v>96</v>
      </c>
      <c r="AD152" s="134"/>
      <c r="AE152" s="134"/>
      <c r="AF152" s="146"/>
      <c r="AG152" s="134"/>
      <c r="AH152" s="134"/>
      <c r="AI152" s="134"/>
      <c r="AJ152" s="147"/>
      <c r="AK152" s="134"/>
    </row>
    <row r="153" spans="1:37" s="35" customFormat="1" ht="110.25" customHeight="1">
      <c r="A153" s="247"/>
      <c r="B153" s="185">
        <v>0</v>
      </c>
      <c r="C153" s="185">
        <v>2</v>
      </c>
      <c r="D153" s="185">
        <v>9</v>
      </c>
      <c r="E153" s="185">
        <v>0</v>
      </c>
      <c r="F153" s="185">
        <v>7</v>
      </c>
      <c r="G153" s="185">
        <v>0</v>
      </c>
      <c r="H153" s="185">
        <v>1</v>
      </c>
      <c r="I153" s="185">
        <v>1</v>
      </c>
      <c r="J153" s="185">
        <v>2</v>
      </c>
      <c r="K153" s="185">
        <v>2</v>
      </c>
      <c r="L153" s="195">
        <v>0</v>
      </c>
      <c r="M153" s="195">
        <v>1</v>
      </c>
      <c r="N153" s="195">
        <v>1</v>
      </c>
      <c r="O153" s="195">
        <v>0</v>
      </c>
      <c r="P153" s="185">
        <v>7</v>
      </c>
      <c r="Q153" s="185">
        <v>4</v>
      </c>
      <c r="R153" s="185" t="s">
        <v>73</v>
      </c>
      <c r="S153" s="185">
        <v>1</v>
      </c>
      <c r="T153" s="185">
        <v>2</v>
      </c>
      <c r="U153" s="185">
        <v>2</v>
      </c>
      <c r="V153" s="185">
        <v>0</v>
      </c>
      <c r="W153" s="185">
        <v>1</v>
      </c>
      <c r="X153" s="185">
        <v>0</v>
      </c>
      <c r="Y153" s="185">
        <v>3</v>
      </c>
      <c r="Z153" s="185">
        <v>0</v>
      </c>
      <c r="AA153" s="185">
        <v>0</v>
      </c>
      <c r="AB153" s="239"/>
      <c r="AC153" s="131" t="s">
        <v>96</v>
      </c>
      <c r="AD153" s="137">
        <v>67103600</v>
      </c>
      <c r="AE153" s="137">
        <v>68212800</v>
      </c>
      <c r="AF153" s="137">
        <f>68212800+6181200</f>
        <v>74394000</v>
      </c>
      <c r="AG153" s="137">
        <f>68212800+6183600</f>
        <v>74396400</v>
      </c>
      <c r="AH153" s="137">
        <f>61404500-220500+13212400</f>
        <v>74396400</v>
      </c>
      <c r="AI153" s="137">
        <f>61404500-220500</f>
        <v>61184000</v>
      </c>
      <c r="AJ153" s="138">
        <f>SUM(AD153:AI153)</f>
        <v>419687200</v>
      </c>
      <c r="AK153" s="134">
        <v>2027</v>
      </c>
    </row>
    <row r="154" spans="1:37" s="35" customFormat="1" ht="81.75" customHeight="1">
      <c r="A154" s="247"/>
      <c r="B154" s="195">
        <v>0</v>
      </c>
      <c r="C154" s="195">
        <v>2</v>
      </c>
      <c r="D154" s="195">
        <v>9</v>
      </c>
      <c r="E154" s="195">
        <v>0</v>
      </c>
      <c r="F154" s="195">
        <v>7</v>
      </c>
      <c r="G154" s="195">
        <v>0</v>
      </c>
      <c r="H154" s="195">
        <v>1</v>
      </c>
      <c r="I154" s="195">
        <v>1</v>
      </c>
      <c r="J154" s="195">
        <v>2</v>
      </c>
      <c r="K154" s="195">
        <v>2</v>
      </c>
      <c r="L154" s="195">
        <v>0</v>
      </c>
      <c r="M154" s="195">
        <v>1</v>
      </c>
      <c r="N154" s="195">
        <v>2</v>
      </c>
      <c r="O154" s="195">
        <v>0</v>
      </c>
      <c r="P154" s="185">
        <v>0</v>
      </c>
      <c r="Q154" s="185">
        <v>2</v>
      </c>
      <c r="R154" s="185" t="s">
        <v>73</v>
      </c>
      <c r="S154" s="185">
        <v>1</v>
      </c>
      <c r="T154" s="185">
        <v>2</v>
      </c>
      <c r="U154" s="185">
        <v>2</v>
      </c>
      <c r="V154" s="185">
        <v>0</v>
      </c>
      <c r="W154" s="185">
        <v>1</v>
      </c>
      <c r="X154" s="185">
        <v>0</v>
      </c>
      <c r="Y154" s="185">
        <v>3</v>
      </c>
      <c r="Z154" s="185">
        <v>0</v>
      </c>
      <c r="AA154" s="185">
        <v>0</v>
      </c>
      <c r="AB154" s="148" t="s">
        <v>204</v>
      </c>
      <c r="AC154" s="131" t="s">
        <v>96</v>
      </c>
      <c r="AD154" s="137">
        <v>68727738.62</v>
      </c>
      <c r="AE154" s="137">
        <f>71182666.75+250487.54+200004.03</f>
        <v>71633158.32000001</v>
      </c>
      <c r="AF154" s="137">
        <f>65363140.99-89814.2+16141256.14</f>
        <v>81414582.93</v>
      </c>
      <c r="AG154" s="137">
        <f>65363140.99+16724702.25</f>
        <v>82087843.24000001</v>
      </c>
      <c r="AH154" s="137">
        <f>39637695.34+38463335.36</f>
        <v>78101030.7</v>
      </c>
      <c r="AI154" s="137">
        <v>39637695.34</v>
      </c>
      <c r="AJ154" s="138">
        <f>SUM(AD154:AI154)</f>
        <v>421602049.15</v>
      </c>
      <c r="AK154" s="136">
        <v>2027</v>
      </c>
    </row>
    <row r="155" spans="1:37" s="35" customFormat="1" ht="80.25" customHeight="1">
      <c r="A155" s="247"/>
      <c r="B155" s="195"/>
      <c r="C155" s="195"/>
      <c r="D155" s="195"/>
      <c r="E155" s="195"/>
      <c r="F155" s="195"/>
      <c r="G155" s="195"/>
      <c r="H155" s="195"/>
      <c r="I155" s="195"/>
      <c r="J155" s="195"/>
      <c r="K155" s="195"/>
      <c r="L155" s="195"/>
      <c r="M155" s="195"/>
      <c r="N155" s="195"/>
      <c r="O155" s="195"/>
      <c r="P155" s="185"/>
      <c r="Q155" s="185"/>
      <c r="R155" s="185"/>
      <c r="S155" s="185">
        <v>1</v>
      </c>
      <c r="T155" s="185">
        <v>2</v>
      </c>
      <c r="U155" s="185">
        <v>2</v>
      </c>
      <c r="V155" s="185">
        <v>0</v>
      </c>
      <c r="W155" s="185">
        <v>1</v>
      </c>
      <c r="X155" s="185">
        <v>0</v>
      </c>
      <c r="Y155" s="185">
        <v>3</v>
      </c>
      <c r="Z155" s="185">
        <v>0</v>
      </c>
      <c r="AA155" s="185">
        <v>1</v>
      </c>
      <c r="AB155" s="66" t="s">
        <v>280</v>
      </c>
      <c r="AC155" s="50" t="s">
        <v>107</v>
      </c>
      <c r="AD155" s="67">
        <v>978</v>
      </c>
      <c r="AE155" s="67">
        <v>978</v>
      </c>
      <c r="AF155" s="67">
        <v>978</v>
      </c>
      <c r="AG155" s="67">
        <v>978</v>
      </c>
      <c r="AH155" s="67">
        <v>978</v>
      </c>
      <c r="AI155" s="67">
        <v>978</v>
      </c>
      <c r="AJ155" s="58">
        <f>SUM(AD155:AI155)</f>
        <v>5868</v>
      </c>
      <c r="AK155" s="49">
        <v>2027</v>
      </c>
    </row>
    <row r="156" spans="1:37" s="35" customFormat="1" ht="86.25" customHeight="1">
      <c r="A156" s="247"/>
      <c r="B156" s="195"/>
      <c r="C156" s="195"/>
      <c r="D156" s="195"/>
      <c r="E156" s="195"/>
      <c r="F156" s="195"/>
      <c r="G156" s="195"/>
      <c r="H156" s="195"/>
      <c r="I156" s="195"/>
      <c r="J156" s="195"/>
      <c r="K156" s="195"/>
      <c r="L156" s="195"/>
      <c r="M156" s="195"/>
      <c r="N156" s="195"/>
      <c r="O156" s="195"/>
      <c r="P156" s="185"/>
      <c r="Q156" s="185"/>
      <c r="R156" s="185"/>
      <c r="S156" s="185">
        <v>1</v>
      </c>
      <c r="T156" s="185">
        <v>2</v>
      </c>
      <c r="U156" s="185">
        <v>2</v>
      </c>
      <c r="V156" s="185">
        <v>0</v>
      </c>
      <c r="W156" s="185">
        <v>1</v>
      </c>
      <c r="X156" s="185">
        <v>0</v>
      </c>
      <c r="Y156" s="185">
        <v>3</v>
      </c>
      <c r="Z156" s="185">
        <v>0</v>
      </c>
      <c r="AA156" s="185">
        <v>2</v>
      </c>
      <c r="AB156" s="66" t="s">
        <v>268</v>
      </c>
      <c r="AC156" s="50" t="s">
        <v>96</v>
      </c>
      <c r="AD156" s="100">
        <f aca="true" t="shared" si="9" ref="AD156:AJ156">(AD153+AD154)/AD155</f>
        <v>138886.84930470347</v>
      </c>
      <c r="AE156" s="100">
        <f t="shared" si="9"/>
        <v>142991.7774233129</v>
      </c>
      <c r="AF156" s="100">
        <f t="shared" si="9"/>
        <v>159313.47947852762</v>
      </c>
      <c r="AG156" s="100">
        <f t="shared" si="9"/>
        <v>160004.33869120656</v>
      </c>
      <c r="AH156" s="100">
        <f t="shared" si="9"/>
        <v>155927.84325153372</v>
      </c>
      <c r="AI156" s="100">
        <f t="shared" si="9"/>
        <v>103089.66803680982</v>
      </c>
      <c r="AJ156" s="100">
        <f t="shared" si="9"/>
        <v>143368.99269768235</v>
      </c>
      <c r="AK156" s="49">
        <v>2027</v>
      </c>
    </row>
    <row r="157" spans="1:37" s="35" customFormat="1" ht="86.25" customHeight="1">
      <c r="A157" s="247"/>
      <c r="B157" s="195">
        <v>0</v>
      </c>
      <c r="C157" s="195">
        <v>2</v>
      </c>
      <c r="D157" s="195">
        <v>9</v>
      </c>
      <c r="E157" s="195">
        <v>0</v>
      </c>
      <c r="F157" s="195">
        <v>7</v>
      </c>
      <c r="G157" s="195">
        <v>0</v>
      </c>
      <c r="H157" s="195">
        <v>1</v>
      </c>
      <c r="I157" s="195">
        <v>1</v>
      </c>
      <c r="J157" s="195">
        <v>2</v>
      </c>
      <c r="K157" s="195">
        <v>2</v>
      </c>
      <c r="L157" s="195">
        <v>0</v>
      </c>
      <c r="M157" s="195">
        <v>1</v>
      </c>
      <c r="N157" s="195">
        <v>1</v>
      </c>
      <c r="O157" s="195">
        <v>1</v>
      </c>
      <c r="P157" s="185">
        <v>3</v>
      </c>
      <c r="Q157" s="185">
        <v>5</v>
      </c>
      <c r="R157" s="185">
        <v>0</v>
      </c>
      <c r="S157" s="185">
        <v>1</v>
      </c>
      <c r="T157" s="185">
        <v>2</v>
      </c>
      <c r="U157" s="185">
        <v>2</v>
      </c>
      <c r="V157" s="185">
        <v>0</v>
      </c>
      <c r="W157" s="185">
        <v>1</v>
      </c>
      <c r="X157" s="185">
        <v>0</v>
      </c>
      <c r="Y157" s="185">
        <v>4</v>
      </c>
      <c r="Z157" s="185">
        <v>0</v>
      </c>
      <c r="AA157" s="185">
        <v>0</v>
      </c>
      <c r="AB157" s="205" t="s">
        <v>299</v>
      </c>
      <c r="AC157" s="131" t="s">
        <v>96</v>
      </c>
      <c r="AD157" s="171">
        <v>987800</v>
      </c>
      <c r="AE157" s="171">
        <v>1485000</v>
      </c>
      <c r="AF157" s="171">
        <v>0</v>
      </c>
      <c r="AG157" s="171">
        <v>0</v>
      </c>
      <c r="AH157" s="171">
        <v>0</v>
      </c>
      <c r="AI157" s="171">
        <v>0</v>
      </c>
      <c r="AJ157" s="171">
        <f>SUM(AD157:AI157)</f>
        <v>2472800</v>
      </c>
      <c r="AK157" s="136">
        <v>2022</v>
      </c>
    </row>
    <row r="158" spans="1:37" s="218" customFormat="1" ht="86.25" customHeight="1">
      <c r="A158" s="247"/>
      <c r="B158" s="216"/>
      <c r="C158" s="216"/>
      <c r="D158" s="216"/>
      <c r="E158" s="216"/>
      <c r="F158" s="216"/>
      <c r="G158" s="216"/>
      <c r="H158" s="216"/>
      <c r="I158" s="216"/>
      <c r="J158" s="216"/>
      <c r="K158" s="216"/>
      <c r="L158" s="216"/>
      <c r="M158" s="216"/>
      <c r="N158" s="216"/>
      <c r="O158" s="216"/>
      <c r="P158" s="216"/>
      <c r="Q158" s="216"/>
      <c r="R158" s="216"/>
      <c r="S158" s="216">
        <v>1</v>
      </c>
      <c r="T158" s="216">
        <v>2</v>
      </c>
      <c r="U158" s="216">
        <v>2</v>
      </c>
      <c r="V158" s="216">
        <v>0</v>
      </c>
      <c r="W158" s="216">
        <v>1</v>
      </c>
      <c r="X158" s="216">
        <v>0</v>
      </c>
      <c r="Y158" s="216">
        <v>4</v>
      </c>
      <c r="Z158" s="216">
        <v>0</v>
      </c>
      <c r="AA158" s="216">
        <v>1</v>
      </c>
      <c r="AB158" s="113" t="s">
        <v>309</v>
      </c>
      <c r="AC158" s="217" t="s">
        <v>95</v>
      </c>
      <c r="AD158" s="221">
        <v>1</v>
      </c>
      <c r="AE158" s="221">
        <v>1</v>
      </c>
      <c r="AF158" s="221">
        <v>0</v>
      </c>
      <c r="AG158" s="221">
        <v>0</v>
      </c>
      <c r="AH158" s="221">
        <v>0</v>
      </c>
      <c r="AI158" s="221">
        <v>0</v>
      </c>
      <c r="AJ158" s="221">
        <v>0</v>
      </c>
      <c r="AK158" s="222">
        <f>SUM(AD158:AJ158)</f>
        <v>2</v>
      </c>
    </row>
    <row r="159" spans="1:37" s="35" customFormat="1" ht="78" customHeight="1">
      <c r="A159" s="247"/>
      <c r="B159" s="195">
        <v>0</v>
      </c>
      <c r="C159" s="195">
        <v>2</v>
      </c>
      <c r="D159" s="195">
        <v>9</v>
      </c>
      <c r="E159" s="195">
        <v>0</v>
      </c>
      <c r="F159" s="195">
        <v>7</v>
      </c>
      <c r="G159" s="195">
        <v>0</v>
      </c>
      <c r="H159" s="195">
        <v>1</v>
      </c>
      <c r="I159" s="195">
        <v>1</v>
      </c>
      <c r="J159" s="195">
        <v>2</v>
      </c>
      <c r="K159" s="195">
        <v>2</v>
      </c>
      <c r="L159" s="195">
        <v>0</v>
      </c>
      <c r="M159" s="195">
        <v>1</v>
      </c>
      <c r="N159" s="195" t="s">
        <v>75</v>
      </c>
      <c r="O159" s="195">
        <v>1</v>
      </c>
      <c r="P159" s="185">
        <v>3</v>
      </c>
      <c r="Q159" s="185">
        <v>5</v>
      </c>
      <c r="R159" s="185">
        <v>0</v>
      </c>
      <c r="S159" s="185">
        <v>1</v>
      </c>
      <c r="T159" s="185">
        <v>2</v>
      </c>
      <c r="U159" s="185">
        <v>2</v>
      </c>
      <c r="V159" s="185">
        <v>0</v>
      </c>
      <c r="W159" s="185">
        <v>1</v>
      </c>
      <c r="X159" s="185">
        <v>0</v>
      </c>
      <c r="Y159" s="185">
        <v>5</v>
      </c>
      <c r="Z159" s="185">
        <v>0</v>
      </c>
      <c r="AA159" s="185">
        <v>0</v>
      </c>
      <c r="AB159" s="205" t="s">
        <v>310</v>
      </c>
      <c r="AC159" s="131" t="s">
        <v>96</v>
      </c>
      <c r="AD159" s="171">
        <v>10000</v>
      </c>
      <c r="AE159" s="171">
        <v>15000</v>
      </c>
      <c r="AF159" s="171">
        <v>0</v>
      </c>
      <c r="AG159" s="171">
        <v>0</v>
      </c>
      <c r="AH159" s="171">
        <v>0</v>
      </c>
      <c r="AI159" s="171">
        <v>0</v>
      </c>
      <c r="AJ159" s="171">
        <f>SUM(AD159:AI159)</f>
        <v>25000</v>
      </c>
      <c r="AK159" s="136">
        <v>2022</v>
      </c>
    </row>
    <row r="160" spans="1:37" s="220" customFormat="1" ht="74.25">
      <c r="A160" s="247"/>
      <c r="B160" s="219"/>
      <c r="C160" s="219"/>
      <c r="D160" s="219"/>
      <c r="E160" s="219"/>
      <c r="F160" s="219"/>
      <c r="G160" s="219"/>
      <c r="H160" s="219"/>
      <c r="I160" s="219"/>
      <c r="J160" s="219"/>
      <c r="K160" s="219"/>
      <c r="L160" s="219"/>
      <c r="M160" s="219"/>
      <c r="N160" s="219"/>
      <c r="O160" s="219"/>
      <c r="P160" s="219"/>
      <c r="Q160" s="219"/>
      <c r="R160" s="219"/>
      <c r="S160" s="219">
        <v>1</v>
      </c>
      <c r="T160" s="219">
        <v>2</v>
      </c>
      <c r="U160" s="219">
        <v>2</v>
      </c>
      <c r="V160" s="219">
        <v>0</v>
      </c>
      <c r="W160" s="219">
        <v>1</v>
      </c>
      <c r="X160" s="219">
        <v>0</v>
      </c>
      <c r="Y160" s="219">
        <v>5</v>
      </c>
      <c r="Z160" s="219">
        <v>0</v>
      </c>
      <c r="AA160" s="219">
        <v>2</v>
      </c>
      <c r="AB160" s="113" t="s">
        <v>311</v>
      </c>
      <c r="AC160" s="217" t="s">
        <v>95</v>
      </c>
      <c r="AD160" s="221">
        <v>1</v>
      </c>
      <c r="AE160" s="221">
        <v>1</v>
      </c>
      <c r="AF160" s="221">
        <v>0</v>
      </c>
      <c r="AG160" s="221">
        <v>0</v>
      </c>
      <c r="AH160" s="221">
        <v>0</v>
      </c>
      <c r="AI160" s="221">
        <v>0</v>
      </c>
      <c r="AJ160" s="221">
        <v>0</v>
      </c>
      <c r="AK160" s="222">
        <f>SUM(AD160:AJ160)</f>
        <v>2</v>
      </c>
    </row>
    <row r="161" spans="1:37" s="35" customFormat="1" ht="95.25" customHeight="1">
      <c r="A161" s="247"/>
      <c r="B161" s="195"/>
      <c r="C161" s="195"/>
      <c r="D161" s="195"/>
      <c r="E161" s="195"/>
      <c r="F161" s="195"/>
      <c r="G161" s="195"/>
      <c r="H161" s="195"/>
      <c r="I161" s="195"/>
      <c r="J161" s="195"/>
      <c r="K161" s="195"/>
      <c r="L161" s="195"/>
      <c r="M161" s="195"/>
      <c r="N161" s="195"/>
      <c r="O161" s="195"/>
      <c r="P161" s="185"/>
      <c r="Q161" s="185"/>
      <c r="R161" s="185"/>
      <c r="S161" s="185">
        <v>1</v>
      </c>
      <c r="T161" s="185">
        <v>2</v>
      </c>
      <c r="U161" s="185">
        <v>2</v>
      </c>
      <c r="V161" s="185">
        <v>0</v>
      </c>
      <c r="W161" s="185">
        <v>1</v>
      </c>
      <c r="X161" s="185">
        <v>0</v>
      </c>
      <c r="Y161" s="185">
        <v>4</v>
      </c>
      <c r="Z161" s="185">
        <v>0</v>
      </c>
      <c r="AA161" s="185">
        <v>1</v>
      </c>
      <c r="AB161" s="113" t="s">
        <v>297</v>
      </c>
      <c r="AC161" s="50" t="s">
        <v>95</v>
      </c>
      <c r="AD161" s="206">
        <v>1</v>
      </c>
      <c r="AE161" s="206">
        <v>1</v>
      </c>
      <c r="AF161" s="206">
        <v>0</v>
      </c>
      <c r="AG161" s="206">
        <v>0</v>
      </c>
      <c r="AH161" s="206">
        <v>0</v>
      </c>
      <c r="AI161" s="206">
        <v>0</v>
      </c>
      <c r="AJ161" s="206">
        <f>SUM(AD161:AI161)</f>
        <v>2</v>
      </c>
      <c r="AK161" s="49">
        <v>2022</v>
      </c>
    </row>
    <row r="162" spans="1:37" s="35" customFormat="1" ht="138" customHeight="1">
      <c r="A162" s="247"/>
      <c r="B162" s="195"/>
      <c r="C162" s="195"/>
      <c r="D162" s="195"/>
      <c r="E162" s="195"/>
      <c r="F162" s="195"/>
      <c r="G162" s="195"/>
      <c r="H162" s="195"/>
      <c r="I162" s="195"/>
      <c r="J162" s="195"/>
      <c r="K162" s="195"/>
      <c r="L162" s="195"/>
      <c r="M162" s="195"/>
      <c r="N162" s="195"/>
      <c r="O162" s="195"/>
      <c r="P162" s="185"/>
      <c r="Q162" s="185"/>
      <c r="R162" s="185"/>
      <c r="S162" s="185">
        <v>1</v>
      </c>
      <c r="T162" s="185">
        <v>2</v>
      </c>
      <c r="U162" s="185">
        <v>2</v>
      </c>
      <c r="V162" s="185">
        <v>0</v>
      </c>
      <c r="W162" s="185">
        <v>1</v>
      </c>
      <c r="X162" s="185">
        <v>0</v>
      </c>
      <c r="Y162" s="185">
        <v>4</v>
      </c>
      <c r="Z162" s="185">
        <v>0</v>
      </c>
      <c r="AA162" s="185">
        <v>2</v>
      </c>
      <c r="AB162" s="113" t="s">
        <v>298</v>
      </c>
      <c r="AC162" s="50" t="s">
        <v>94</v>
      </c>
      <c r="AD162" s="179">
        <f>239/970%</f>
        <v>24.63917525773196</v>
      </c>
      <c r="AE162" s="206">
        <v>25.03</v>
      </c>
      <c r="AF162" s="206">
        <v>0</v>
      </c>
      <c r="AG162" s="206">
        <v>0</v>
      </c>
      <c r="AH162" s="206">
        <v>0</v>
      </c>
      <c r="AI162" s="206">
        <v>0</v>
      </c>
      <c r="AJ162" s="208">
        <f>SUM(AD162:AI162)</f>
        <v>49.669175257731965</v>
      </c>
      <c r="AK162" s="49">
        <v>2022</v>
      </c>
    </row>
    <row r="163" spans="1:37" s="8" customFormat="1" ht="86.25" customHeight="1">
      <c r="A163" s="247"/>
      <c r="B163" s="195">
        <v>0</v>
      </c>
      <c r="C163" s="195">
        <v>2</v>
      </c>
      <c r="D163" s="195">
        <v>9</v>
      </c>
      <c r="E163" s="195">
        <v>0</v>
      </c>
      <c r="F163" s="195">
        <v>7</v>
      </c>
      <c r="G163" s="195">
        <v>0</v>
      </c>
      <c r="H163" s="195">
        <v>1</v>
      </c>
      <c r="I163" s="195">
        <v>1</v>
      </c>
      <c r="J163" s="195">
        <v>2</v>
      </c>
      <c r="K163" s="195">
        <v>2</v>
      </c>
      <c r="L163" s="195">
        <v>0</v>
      </c>
      <c r="M163" s="195">
        <v>1</v>
      </c>
      <c r="N163" s="195" t="s">
        <v>75</v>
      </c>
      <c r="O163" s="195">
        <v>1</v>
      </c>
      <c r="P163" s="185">
        <v>0</v>
      </c>
      <c r="Q163" s="185">
        <v>4</v>
      </c>
      <c r="R163" s="185" t="s">
        <v>74</v>
      </c>
      <c r="S163" s="185">
        <v>1</v>
      </c>
      <c r="T163" s="185">
        <v>2</v>
      </c>
      <c r="U163" s="185">
        <v>2</v>
      </c>
      <c r="V163" s="185">
        <v>0</v>
      </c>
      <c r="W163" s="185">
        <v>1</v>
      </c>
      <c r="X163" s="185">
        <v>0</v>
      </c>
      <c r="Y163" s="185">
        <v>5</v>
      </c>
      <c r="Z163" s="185">
        <v>0</v>
      </c>
      <c r="AA163" s="185">
        <v>0</v>
      </c>
      <c r="AB163" s="148" t="s">
        <v>302</v>
      </c>
      <c r="AC163" s="131" t="s">
        <v>96</v>
      </c>
      <c r="AD163" s="142">
        <v>9208.4</v>
      </c>
      <c r="AE163" s="142">
        <v>0</v>
      </c>
      <c r="AF163" s="142">
        <v>0</v>
      </c>
      <c r="AG163" s="142">
        <v>0</v>
      </c>
      <c r="AH163" s="142">
        <v>0</v>
      </c>
      <c r="AI163" s="142">
        <v>0</v>
      </c>
      <c r="AJ163" s="142">
        <f>SUM(AE163:AI163)</f>
        <v>0</v>
      </c>
      <c r="AK163" s="136">
        <v>2022</v>
      </c>
    </row>
    <row r="164" spans="1:37" s="218" customFormat="1" ht="96" customHeight="1">
      <c r="A164" s="247"/>
      <c r="B164" s="219"/>
      <c r="C164" s="219"/>
      <c r="D164" s="219"/>
      <c r="E164" s="219"/>
      <c r="F164" s="219"/>
      <c r="G164" s="219"/>
      <c r="H164" s="219"/>
      <c r="I164" s="219"/>
      <c r="J164" s="219"/>
      <c r="K164" s="219"/>
      <c r="L164" s="219"/>
      <c r="M164" s="219"/>
      <c r="N164" s="219"/>
      <c r="O164" s="219"/>
      <c r="P164" s="219"/>
      <c r="Q164" s="219"/>
      <c r="R164" s="219"/>
      <c r="S164" s="219">
        <v>1</v>
      </c>
      <c r="T164" s="219">
        <v>2</v>
      </c>
      <c r="U164" s="219">
        <v>2</v>
      </c>
      <c r="V164" s="219">
        <v>0</v>
      </c>
      <c r="W164" s="219">
        <v>1</v>
      </c>
      <c r="X164" s="219">
        <v>0</v>
      </c>
      <c r="Y164" s="219">
        <v>5</v>
      </c>
      <c r="Z164" s="219">
        <v>0</v>
      </c>
      <c r="AA164" s="219">
        <v>1</v>
      </c>
      <c r="AB164" s="223" t="s">
        <v>314</v>
      </c>
      <c r="AC164" s="217" t="s">
        <v>95</v>
      </c>
      <c r="AD164" s="224">
        <v>12</v>
      </c>
      <c r="AE164" s="224">
        <v>0</v>
      </c>
      <c r="AF164" s="224">
        <v>0</v>
      </c>
      <c r="AG164" s="224">
        <v>0</v>
      </c>
      <c r="AH164" s="224">
        <v>0</v>
      </c>
      <c r="AI164" s="224">
        <v>0</v>
      </c>
      <c r="AJ164" s="224">
        <f>SUM(AD164:AI164)</f>
        <v>12</v>
      </c>
      <c r="AK164" s="49">
        <v>2022</v>
      </c>
    </row>
    <row r="165" spans="1:37" s="8" customFormat="1" ht="86.25" customHeight="1">
      <c r="A165" s="247"/>
      <c r="B165" s="195">
        <v>0</v>
      </c>
      <c r="C165" s="195">
        <v>2</v>
      </c>
      <c r="D165" s="195">
        <v>9</v>
      </c>
      <c r="E165" s="195">
        <v>0</v>
      </c>
      <c r="F165" s="195">
        <v>7</v>
      </c>
      <c r="G165" s="195">
        <v>0</v>
      </c>
      <c r="H165" s="195">
        <v>1</v>
      </c>
      <c r="I165" s="195">
        <v>1</v>
      </c>
      <c r="J165" s="195">
        <v>2</v>
      </c>
      <c r="K165" s="195">
        <v>2</v>
      </c>
      <c r="L165" s="195">
        <v>0</v>
      </c>
      <c r="M165" s="195">
        <v>1</v>
      </c>
      <c r="N165" s="195">
        <v>1</v>
      </c>
      <c r="O165" s="195">
        <v>1</v>
      </c>
      <c r="P165" s="185">
        <v>0</v>
      </c>
      <c r="Q165" s="185">
        <v>4</v>
      </c>
      <c r="R165" s="185" t="s">
        <v>74</v>
      </c>
      <c r="S165" s="185">
        <v>1</v>
      </c>
      <c r="T165" s="185">
        <v>2</v>
      </c>
      <c r="U165" s="185">
        <v>2</v>
      </c>
      <c r="V165" s="185">
        <v>0</v>
      </c>
      <c r="W165" s="185">
        <v>1</v>
      </c>
      <c r="X165" s="185">
        <v>0</v>
      </c>
      <c r="Y165" s="185">
        <v>6</v>
      </c>
      <c r="Z165" s="185">
        <v>0</v>
      </c>
      <c r="AA165" s="185">
        <v>0</v>
      </c>
      <c r="AB165" s="148" t="s">
        <v>303</v>
      </c>
      <c r="AC165" s="131" t="s">
        <v>96</v>
      </c>
      <c r="AD165" s="142">
        <v>911631.11</v>
      </c>
      <c r="AE165" s="142">
        <v>0</v>
      </c>
      <c r="AF165" s="142">
        <v>0</v>
      </c>
      <c r="AG165" s="142">
        <v>0</v>
      </c>
      <c r="AH165" s="142">
        <v>0</v>
      </c>
      <c r="AI165" s="142">
        <v>0</v>
      </c>
      <c r="AJ165" s="142">
        <f>SUM(AE165:AI165)</f>
        <v>0</v>
      </c>
      <c r="AK165" s="136">
        <v>2022</v>
      </c>
    </row>
    <row r="166" spans="1:37" s="218" customFormat="1" ht="93.75" customHeight="1">
      <c r="A166" s="247"/>
      <c r="B166" s="219"/>
      <c r="C166" s="219"/>
      <c r="D166" s="219"/>
      <c r="E166" s="219"/>
      <c r="F166" s="219"/>
      <c r="G166" s="219"/>
      <c r="H166" s="219"/>
      <c r="I166" s="219"/>
      <c r="J166" s="219"/>
      <c r="K166" s="219"/>
      <c r="L166" s="219"/>
      <c r="M166" s="219"/>
      <c r="N166" s="219"/>
      <c r="O166" s="219"/>
      <c r="P166" s="219"/>
      <c r="Q166" s="219"/>
      <c r="R166" s="219"/>
      <c r="S166" s="219">
        <v>1</v>
      </c>
      <c r="T166" s="219">
        <v>2</v>
      </c>
      <c r="U166" s="219">
        <v>2</v>
      </c>
      <c r="V166" s="219">
        <v>0</v>
      </c>
      <c r="W166" s="219">
        <v>1</v>
      </c>
      <c r="X166" s="219">
        <v>0</v>
      </c>
      <c r="Y166" s="219">
        <v>6</v>
      </c>
      <c r="Z166" s="219">
        <v>0</v>
      </c>
      <c r="AA166" s="219">
        <v>1</v>
      </c>
      <c r="AB166" s="223" t="s">
        <v>315</v>
      </c>
      <c r="AC166" s="217" t="s">
        <v>95</v>
      </c>
      <c r="AD166" s="224">
        <v>12</v>
      </c>
      <c r="AE166" s="224">
        <v>0</v>
      </c>
      <c r="AF166" s="224">
        <v>0</v>
      </c>
      <c r="AG166" s="224">
        <v>0</v>
      </c>
      <c r="AH166" s="224">
        <v>0</v>
      </c>
      <c r="AI166" s="224">
        <v>0</v>
      </c>
      <c r="AJ166" s="224">
        <f>SUM(AD166:AI166)</f>
        <v>12</v>
      </c>
      <c r="AK166" s="49">
        <v>2022</v>
      </c>
    </row>
    <row r="167" spans="1:37" s="8" customFormat="1" ht="86.25" customHeight="1">
      <c r="A167" s="247"/>
      <c r="B167" s="195">
        <v>0</v>
      </c>
      <c r="C167" s="195">
        <v>2</v>
      </c>
      <c r="D167" s="195">
        <v>9</v>
      </c>
      <c r="E167" s="195">
        <v>0</v>
      </c>
      <c r="F167" s="195">
        <v>7</v>
      </c>
      <c r="G167" s="195">
        <v>0</v>
      </c>
      <c r="H167" s="195">
        <v>1</v>
      </c>
      <c r="I167" s="195">
        <v>1</v>
      </c>
      <c r="J167" s="195">
        <v>2</v>
      </c>
      <c r="K167" s="195">
        <v>2</v>
      </c>
      <c r="L167" s="195">
        <v>0</v>
      </c>
      <c r="M167" s="195">
        <v>1</v>
      </c>
      <c r="N167" s="195">
        <v>1</v>
      </c>
      <c r="O167" s="195">
        <v>1</v>
      </c>
      <c r="P167" s="185">
        <v>0</v>
      </c>
      <c r="Q167" s="185">
        <v>4</v>
      </c>
      <c r="R167" s="185" t="s">
        <v>74</v>
      </c>
      <c r="S167" s="185">
        <v>1</v>
      </c>
      <c r="T167" s="185">
        <v>2</v>
      </c>
      <c r="U167" s="185">
        <v>2</v>
      </c>
      <c r="V167" s="185">
        <v>0</v>
      </c>
      <c r="W167" s="185">
        <v>1</v>
      </c>
      <c r="X167" s="185">
        <v>0</v>
      </c>
      <c r="Y167" s="185">
        <v>7</v>
      </c>
      <c r="Z167" s="185">
        <v>0</v>
      </c>
      <c r="AA167" s="185">
        <v>0</v>
      </c>
      <c r="AB167" s="148" t="s">
        <v>321</v>
      </c>
      <c r="AC167" s="131" t="s">
        <v>96</v>
      </c>
      <c r="AD167" s="142">
        <v>0</v>
      </c>
      <c r="AE167" s="142">
        <v>1534200</v>
      </c>
      <c r="AF167" s="142">
        <v>359200</v>
      </c>
      <c r="AG167" s="142">
        <v>0</v>
      </c>
      <c r="AH167" s="142">
        <v>0</v>
      </c>
      <c r="AI167" s="142">
        <v>0</v>
      </c>
      <c r="AJ167" s="142">
        <f>SUM(AE167:AI167)</f>
        <v>1893400</v>
      </c>
      <c r="AK167" s="136">
        <v>2024</v>
      </c>
    </row>
    <row r="168" spans="1:37" s="218" customFormat="1" ht="93.75" customHeight="1">
      <c r="A168" s="247"/>
      <c r="B168" s="219"/>
      <c r="C168" s="219"/>
      <c r="D168" s="219"/>
      <c r="E168" s="219"/>
      <c r="F168" s="219"/>
      <c r="G168" s="219"/>
      <c r="H168" s="219"/>
      <c r="I168" s="219"/>
      <c r="J168" s="219"/>
      <c r="K168" s="219"/>
      <c r="L168" s="219"/>
      <c r="M168" s="219"/>
      <c r="N168" s="219"/>
      <c r="O168" s="219"/>
      <c r="P168" s="219"/>
      <c r="Q168" s="219"/>
      <c r="R168" s="219"/>
      <c r="S168" s="219">
        <v>1</v>
      </c>
      <c r="T168" s="219">
        <v>2</v>
      </c>
      <c r="U168" s="219">
        <v>2</v>
      </c>
      <c r="V168" s="219">
        <v>0</v>
      </c>
      <c r="W168" s="219">
        <v>1</v>
      </c>
      <c r="X168" s="219">
        <v>0</v>
      </c>
      <c r="Y168" s="219">
        <v>7</v>
      </c>
      <c r="Z168" s="219">
        <v>0</v>
      </c>
      <c r="AA168" s="219">
        <v>1</v>
      </c>
      <c r="AB168" s="223" t="s">
        <v>322</v>
      </c>
      <c r="AC168" s="217" t="s">
        <v>95</v>
      </c>
      <c r="AD168" s="224">
        <v>0</v>
      </c>
      <c r="AE168" s="224">
        <v>1</v>
      </c>
      <c r="AF168" s="224">
        <v>0</v>
      </c>
      <c r="AG168" s="224">
        <v>0</v>
      </c>
      <c r="AH168" s="224">
        <v>0</v>
      </c>
      <c r="AI168" s="224">
        <v>0</v>
      </c>
      <c r="AJ168" s="224">
        <f>SUM(AD168:AI168)</f>
        <v>1</v>
      </c>
      <c r="AK168" s="49">
        <v>2023</v>
      </c>
    </row>
    <row r="169" spans="1:37" s="35" customFormat="1" ht="48" customHeight="1">
      <c r="A169" s="247"/>
      <c r="B169" s="185"/>
      <c r="C169" s="185"/>
      <c r="D169" s="185"/>
      <c r="E169" s="185"/>
      <c r="F169" s="185"/>
      <c r="G169" s="185"/>
      <c r="H169" s="185"/>
      <c r="I169" s="185"/>
      <c r="J169" s="185"/>
      <c r="K169" s="185"/>
      <c r="L169" s="185"/>
      <c r="M169" s="185"/>
      <c r="N169" s="185"/>
      <c r="O169" s="185"/>
      <c r="P169" s="185"/>
      <c r="Q169" s="185"/>
      <c r="R169" s="185"/>
      <c r="S169" s="185">
        <v>1</v>
      </c>
      <c r="T169" s="185">
        <v>2</v>
      </c>
      <c r="U169" s="185">
        <v>2</v>
      </c>
      <c r="V169" s="185">
        <v>0</v>
      </c>
      <c r="W169" s="185">
        <v>2</v>
      </c>
      <c r="X169" s="185">
        <v>0</v>
      </c>
      <c r="Y169" s="185">
        <v>0</v>
      </c>
      <c r="Z169" s="185">
        <v>0</v>
      </c>
      <c r="AA169" s="185">
        <v>0</v>
      </c>
      <c r="AB169" s="127" t="s">
        <v>97</v>
      </c>
      <c r="AC169" s="144"/>
      <c r="AD169" s="213">
        <f aca="true" t="shared" si="10" ref="AD169:AI169">AD174+AD177+AD179+AD181</f>
        <v>2522180</v>
      </c>
      <c r="AE169" s="213">
        <f t="shared" si="10"/>
        <v>3219300</v>
      </c>
      <c r="AF169" s="213">
        <f t="shared" si="10"/>
        <v>4073600</v>
      </c>
      <c r="AG169" s="213">
        <f t="shared" si="10"/>
        <v>4073600</v>
      </c>
      <c r="AH169" s="213">
        <f t="shared" si="10"/>
        <v>4073600</v>
      </c>
      <c r="AI169" s="213">
        <f t="shared" si="10"/>
        <v>3240300</v>
      </c>
      <c r="AJ169" s="212">
        <f>SUM(AD169:AI169)</f>
        <v>21202580</v>
      </c>
      <c r="AK169" s="121"/>
    </row>
    <row r="170" spans="1:37" s="35" customFormat="1" ht="53.25" customHeight="1">
      <c r="A170" s="247"/>
      <c r="B170" s="185"/>
      <c r="C170" s="185"/>
      <c r="D170" s="185"/>
      <c r="E170" s="185"/>
      <c r="F170" s="185"/>
      <c r="G170" s="185"/>
      <c r="H170" s="185"/>
      <c r="I170" s="185"/>
      <c r="J170" s="185"/>
      <c r="K170" s="185"/>
      <c r="L170" s="185"/>
      <c r="M170" s="185"/>
      <c r="N170" s="185"/>
      <c r="O170" s="185"/>
      <c r="P170" s="185"/>
      <c r="Q170" s="185"/>
      <c r="R170" s="185"/>
      <c r="S170" s="185">
        <v>1</v>
      </c>
      <c r="T170" s="185">
        <v>2</v>
      </c>
      <c r="U170" s="185">
        <v>2</v>
      </c>
      <c r="V170" s="185">
        <v>0</v>
      </c>
      <c r="W170" s="185">
        <v>2</v>
      </c>
      <c r="X170" s="185">
        <v>0</v>
      </c>
      <c r="Y170" s="185">
        <v>0</v>
      </c>
      <c r="Z170" s="185">
        <v>0</v>
      </c>
      <c r="AA170" s="185">
        <v>1</v>
      </c>
      <c r="AB170" s="77" t="s">
        <v>101</v>
      </c>
      <c r="AC170" s="50" t="s">
        <v>94</v>
      </c>
      <c r="AD170" s="37">
        <v>100</v>
      </c>
      <c r="AE170" s="37">
        <v>100</v>
      </c>
      <c r="AF170" s="37">
        <v>100</v>
      </c>
      <c r="AG170" s="37">
        <v>100</v>
      </c>
      <c r="AH170" s="37">
        <v>100</v>
      </c>
      <c r="AI170" s="37">
        <v>100</v>
      </c>
      <c r="AJ170" s="58">
        <f>SUM(AE170)</f>
        <v>100</v>
      </c>
      <c r="AK170" s="49">
        <v>2027</v>
      </c>
    </row>
    <row r="171" spans="1:37" s="35" customFormat="1" ht="75">
      <c r="A171" s="247"/>
      <c r="B171" s="185"/>
      <c r="C171" s="185"/>
      <c r="D171" s="185"/>
      <c r="E171" s="185"/>
      <c r="F171" s="185"/>
      <c r="G171" s="185"/>
      <c r="H171" s="185"/>
      <c r="I171" s="185"/>
      <c r="J171" s="185"/>
      <c r="K171" s="185"/>
      <c r="L171" s="185"/>
      <c r="M171" s="185"/>
      <c r="N171" s="185"/>
      <c r="O171" s="185"/>
      <c r="P171" s="185"/>
      <c r="Q171" s="185"/>
      <c r="R171" s="185"/>
      <c r="S171" s="185">
        <v>1</v>
      </c>
      <c r="T171" s="185">
        <v>2</v>
      </c>
      <c r="U171" s="185">
        <v>2</v>
      </c>
      <c r="V171" s="185">
        <v>0</v>
      </c>
      <c r="W171" s="185">
        <v>2</v>
      </c>
      <c r="X171" s="185">
        <v>0</v>
      </c>
      <c r="Y171" s="185">
        <v>0</v>
      </c>
      <c r="Z171" s="185">
        <v>0</v>
      </c>
      <c r="AA171" s="185">
        <v>2</v>
      </c>
      <c r="AB171" s="77" t="s">
        <v>180</v>
      </c>
      <c r="AC171" s="50" t="s">
        <v>94</v>
      </c>
      <c r="AD171" s="37">
        <v>90</v>
      </c>
      <c r="AE171" s="37">
        <v>90</v>
      </c>
      <c r="AF171" s="37">
        <v>90</v>
      </c>
      <c r="AG171" s="37">
        <v>90</v>
      </c>
      <c r="AH171" s="37">
        <v>90</v>
      </c>
      <c r="AI171" s="37">
        <v>90</v>
      </c>
      <c r="AJ171" s="58">
        <v>90</v>
      </c>
      <c r="AK171" s="49">
        <v>2027</v>
      </c>
    </row>
    <row r="172" spans="1:37" s="35" customFormat="1" ht="63.75" customHeight="1">
      <c r="A172" s="247"/>
      <c r="B172" s="185"/>
      <c r="C172" s="185"/>
      <c r="D172" s="185"/>
      <c r="E172" s="185"/>
      <c r="F172" s="185"/>
      <c r="G172" s="185"/>
      <c r="H172" s="185"/>
      <c r="I172" s="185"/>
      <c r="J172" s="185"/>
      <c r="K172" s="185"/>
      <c r="L172" s="185"/>
      <c r="M172" s="185"/>
      <c r="N172" s="185"/>
      <c r="O172" s="185"/>
      <c r="P172" s="185"/>
      <c r="Q172" s="185"/>
      <c r="R172" s="185"/>
      <c r="S172" s="185">
        <v>1</v>
      </c>
      <c r="T172" s="185">
        <v>2</v>
      </c>
      <c r="U172" s="185">
        <v>2</v>
      </c>
      <c r="V172" s="185">
        <v>0</v>
      </c>
      <c r="W172" s="185">
        <v>2</v>
      </c>
      <c r="X172" s="185">
        <v>0</v>
      </c>
      <c r="Y172" s="185">
        <v>0</v>
      </c>
      <c r="Z172" s="185">
        <v>0</v>
      </c>
      <c r="AA172" s="185">
        <v>3</v>
      </c>
      <c r="AB172" s="77" t="s">
        <v>78</v>
      </c>
      <c r="AC172" s="50" t="s">
        <v>94</v>
      </c>
      <c r="AD172" s="37">
        <v>65</v>
      </c>
      <c r="AE172" s="37">
        <v>65</v>
      </c>
      <c r="AF172" s="37">
        <v>65</v>
      </c>
      <c r="AG172" s="37">
        <v>65</v>
      </c>
      <c r="AH172" s="37">
        <v>65</v>
      </c>
      <c r="AI172" s="37">
        <v>65</v>
      </c>
      <c r="AJ172" s="58">
        <v>65</v>
      </c>
      <c r="AK172" s="49">
        <v>2027</v>
      </c>
    </row>
    <row r="173" spans="1:37" s="35" customFormat="1" ht="60">
      <c r="A173" s="247"/>
      <c r="B173" s="185"/>
      <c r="C173" s="185"/>
      <c r="D173" s="185"/>
      <c r="E173" s="185"/>
      <c r="F173" s="185"/>
      <c r="G173" s="185"/>
      <c r="H173" s="185"/>
      <c r="I173" s="185"/>
      <c r="J173" s="185"/>
      <c r="K173" s="185"/>
      <c r="L173" s="185"/>
      <c r="M173" s="185"/>
      <c r="N173" s="185"/>
      <c r="O173" s="185"/>
      <c r="P173" s="185"/>
      <c r="Q173" s="185"/>
      <c r="R173" s="185"/>
      <c r="S173" s="185">
        <v>1</v>
      </c>
      <c r="T173" s="185">
        <v>2</v>
      </c>
      <c r="U173" s="185">
        <v>2</v>
      </c>
      <c r="V173" s="185">
        <v>0</v>
      </c>
      <c r="W173" s="185">
        <v>2</v>
      </c>
      <c r="X173" s="185">
        <v>0</v>
      </c>
      <c r="Y173" s="185">
        <v>0</v>
      </c>
      <c r="Z173" s="185">
        <v>0</v>
      </c>
      <c r="AA173" s="185">
        <v>4</v>
      </c>
      <c r="AB173" s="77" t="s">
        <v>79</v>
      </c>
      <c r="AC173" s="50" t="s">
        <v>94</v>
      </c>
      <c r="AD173" s="37">
        <v>90</v>
      </c>
      <c r="AE173" s="37">
        <v>90</v>
      </c>
      <c r="AF173" s="37">
        <v>90</v>
      </c>
      <c r="AG173" s="37">
        <v>90</v>
      </c>
      <c r="AH173" s="37">
        <v>90</v>
      </c>
      <c r="AI173" s="37">
        <v>90</v>
      </c>
      <c r="AJ173" s="58">
        <v>90</v>
      </c>
      <c r="AK173" s="49">
        <v>2027</v>
      </c>
    </row>
    <row r="174" spans="1:37" s="35" customFormat="1" ht="81" customHeight="1">
      <c r="A174" s="247"/>
      <c r="B174" s="185"/>
      <c r="C174" s="185"/>
      <c r="D174" s="185"/>
      <c r="E174" s="185"/>
      <c r="F174" s="185"/>
      <c r="G174" s="185"/>
      <c r="H174" s="185"/>
      <c r="I174" s="185"/>
      <c r="J174" s="185"/>
      <c r="K174" s="185"/>
      <c r="L174" s="185"/>
      <c r="M174" s="185"/>
      <c r="N174" s="185"/>
      <c r="O174" s="185"/>
      <c r="P174" s="185"/>
      <c r="Q174" s="185"/>
      <c r="R174" s="185"/>
      <c r="S174" s="185">
        <v>1</v>
      </c>
      <c r="T174" s="185">
        <v>2</v>
      </c>
      <c r="U174" s="185">
        <v>2</v>
      </c>
      <c r="V174" s="185">
        <v>0</v>
      </c>
      <c r="W174" s="185">
        <v>2</v>
      </c>
      <c r="X174" s="185">
        <v>0</v>
      </c>
      <c r="Y174" s="185">
        <v>1</v>
      </c>
      <c r="Z174" s="185">
        <v>0</v>
      </c>
      <c r="AA174" s="185">
        <v>0</v>
      </c>
      <c r="AB174" s="141" t="s">
        <v>80</v>
      </c>
      <c r="AC174" s="156"/>
      <c r="AD174" s="134"/>
      <c r="AE174" s="134"/>
      <c r="AF174" s="134"/>
      <c r="AG174" s="134"/>
      <c r="AH174" s="134"/>
      <c r="AI174" s="134"/>
      <c r="AJ174" s="139"/>
      <c r="AK174" s="136"/>
    </row>
    <row r="175" spans="1:37" s="35" customFormat="1" ht="51" customHeight="1">
      <c r="A175" s="247"/>
      <c r="B175" s="185"/>
      <c r="C175" s="185"/>
      <c r="D175" s="185"/>
      <c r="E175" s="185"/>
      <c r="F175" s="185"/>
      <c r="G175" s="185"/>
      <c r="H175" s="185"/>
      <c r="I175" s="185"/>
      <c r="J175" s="185"/>
      <c r="K175" s="185"/>
      <c r="L175" s="185"/>
      <c r="M175" s="185"/>
      <c r="N175" s="185"/>
      <c r="O175" s="185"/>
      <c r="P175" s="185"/>
      <c r="Q175" s="185"/>
      <c r="R175" s="185"/>
      <c r="S175" s="185">
        <v>1</v>
      </c>
      <c r="T175" s="185">
        <v>2</v>
      </c>
      <c r="U175" s="185">
        <v>2</v>
      </c>
      <c r="V175" s="185">
        <v>0</v>
      </c>
      <c r="W175" s="185">
        <v>2</v>
      </c>
      <c r="X175" s="185">
        <v>0</v>
      </c>
      <c r="Y175" s="185">
        <v>1</v>
      </c>
      <c r="Z175" s="185">
        <v>0</v>
      </c>
      <c r="AA175" s="185">
        <v>1</v>
      </c>
      <c r="AB175" s="77" t="s">
        <v>13</v>
      </c>
      <c r="AC175" s="50" t="s">
        <v>95</v>
      </c>
      <c r="AD175" s="37">
        <v>1</v>
      </c>
      <c r="AE175" s="37">
        <v>1</v>
      </c>
      <c r="AF175" s="37">
        <v>1</v>
      </c>
      <c r="AG175" s="37">
        <v>1</v>
      </c>
      <c r="AH175" s="37">
        <v>1</v>
      </c>
      <c r="AI175" s="37">
        <v>1</v>
      </c>
      <c r="AJ175" s="58">
        <f>SUM(AD175:AI175)</f>
        <v>6</v>
      </c>
      <c r="AK175" s="37">
        <v>2027</v>
      </c>
    </row>
    <row r="176" spans="1:37" s="35" customFormat="1" ht="60" customHeight="1" hidden="1">
      <c r="A176" s="247"/>
      <c r="B176" s="185">
        <v>0</v>
      </c>
      <c r="C176" s="185">
        <v>2</v>
      </c>
      <c r="D176" s="185">
        <v>9</v>
      </c>
      <c r="E176" s="185">
        <v>1</v>
      </c>
      <c r="F176" s="185">
        <v>0</v>
      </c>
      <c r="G176" s="185">
        <v>0</v>
      </c>
      <c r="H176" s="185">
        <v>4</v>
      </c>
      <c r="I176" s="185">
        <v>1</v>
      </c>
      <c r="J176" s="185">
        <v>2</v>
      </c>
      <c r="K176" s="185">
        <v>2</v>
      </c>
      <c r="L176" s="185"/>
      <c r="M176" s="185"/>
      <c r="N176" s="185">
        <v>7</v>
      </c>
      <c r="O176" s="185">
        <v>5</v>
      </c>
      <c r="P176" s="185">
        <v>0</v>
      </c>
      <c r="Q176" s="185">
        <v>1</v>
      </c>
      <c r="R176" s="185"/>
      <c r="S176" s="185">
        <v>1</v>
      </c>
      <c r="T176" s="185">
        <v>2</v>
      </c>
      <c r="U176" s="185">
        <v>2</v>
      </c>
      <c r="V176" s="185">
        <v>0</v>
      </c>
      <c r="W176" s="185">
        <v>2</v>
      </c>
      <c r="X176" s="185">
        <v>0</v>
      </c>
      <c r="Y176" s="185">
        <v>2</v>
      </c>
      <c r="Z176" s="185">
        <v>0</v>
      </c>
      <c r="AA176" s="185">
        <v>0</v>
      </c>
      <c r="AB176" s="237" t="s">
        <v>81</v>
      </c>
      <c r="AC176" s="131" t="s">
        <v>96</v>
      </c>
      <c r="AD176" s="137"/>
      <c r="AE176" s="137"/>
      <c r="AF176" s="137"/>
      <c r="AG176" s="137"/>
      <c r="AH176" s="137"/>
      <c r="AI176" s="137"/>
      <c r="AJ176" s="138"/>
      <c r="AK176" s="134"/>
    </row>
    <row r="177" spans="1:37" s="35" customFormat="1" ht="96.75" customHeight="1">
      <c r="A177" s="247"/>
      <c r="B177" s="185">
        <v>0</v>
      </c>
      <c r="C177" s="185">
        <v>2</v>
      </c>
      <c r="D177" s="185">
        <v>9</v>
      </c>
      <c r="E177" s="185">
        <v>1</v>
      </c>
      <c r="F177" s="185">
        <v>0</v>
      </c>
      <c r="G177" s="185">
        <v>0</v>
      </c>
      <c r="H177" s="185">
        <v>4</v>
      </c>
      <c r="I177" s="185">
        <v>1</v>
      </c>
      <c r="J177" s="185">
        <v>2</v>
      </c>
      <c r="K177" s="185">
        <v>2</v>
      </c>
      <c r="L177" s="185">
        <v>0</v>
      </c>
      <c r="M177" s="185">
        <v>2</v>
      </c>
      <c r="N177" s="185">
        <v>1</v>
      </c>
      <c r="O177" s="185">
        <v>0</v>
      </c>
      <c r="P177" s="185">
        <v>5</v>
      </c>
      <c r="Q177" s="185">
        <v>0</v>
      </c>
      <c r="R177" s="185" t="s">
        <v>74</v>
      </c>
      <c r="S177" s="185">
        <v>1</v>
      </c>
      <c r="T177" s="185">
        <v>2</v>
      </c>
      <c r="U177" s="185">
        <v>2</v>
      </c>
      <c r="V177" s="185">
        <v>0</v>
      </c>
      <c r="W177" s="185">
        <v>2</v>
      </c>
      <c r="X177" s="185">
        <v>0</v>
      </c>
      <c r="Y177" s="185">
        <v>2</v>
      </c>
      <c r="Z177" s="185">
        <v>0</v>
      </c>
      <c r="AA177" s="185">
        <v>0</v>
      </c>
      <c r="AB177" s="238"/>
      <c r="AC177" s="131" t="s">
        <v>96</v>
      </c>
      <c r="AD177" s="137">
        <v>2522180</v>
      </c>
      <c r="AE177" s="137">
        <v>3219300</v>
      </c>
      <c r="AF177" s="137">
        <f>3219300+854300</f>
        <v>4073600</v>
      </c>
      <c r="AG177" s="137">
        <f>3219300+854300</f>
        <v>4073600</v>
      </c>
      <c r="AH177" s="137">
        <f>3240300+833300</f>
        <v>4073600</v>
      </c>
      <c r="AI177" s="137">
        <v>3240300</v>
      </c>
      <c r="AJ177" s="138">
        <f>SUM(AD177:AI177)</f>
        <v>21202580</v>
      </c>
      <c r="AK177" s="134">
        <v>2027</v>
      </c>
    </row>
    <row r="178" spans="1:37" s="35" customFormat="1" ht="119.25">
      <c r="A178" s="247"/>
      <c r="B178" s="185"/>
      <c r="C178" s="185"/>
      <c r="D178" s="185"/>
      <c r="E178" s="185"/>
      <c r="F178" s="185"/>
      <c r="G178" s="185"/>
      <c r="H178" s="185"/>
      <c r="I178" s="185"/>
      <c r="J178" s="185"/>
      <c r="K178" s="185"/>
      <c r="L178" s="185"/>
      <c r="M178" s="185"/>
      <c r="N178" s="185"/>
      <c r="O178" s="185"/>
      <c r="P178" s="185"/>
      <c r="Q178" s="185"/>
      <c r="R178" s="185"/>
      <c r="S178" s="185">
        <v>1</v>
      </c>
      <c r="T178" s="185">
        <v>2</v>
      </c>
      <c r="U178" s="185">
        <v>2</v>
      </c>
      <c r="V178" s="185">
        <v>0</v>
      </c>
      <c r="W178" s="185">
        <v>2</v>
      </c>
      <c r="X178" s="185">
        <v>0</v>
      </c>
      <c r="Y178" s="185">
        <v>2</v>
      </c>
      <c r="Z178" s="185">
        <v>0</v>
      </c>
      <c r="AA178" s="185">
        <v>1</v>
      </c>
      <c r="AB178" s="66" t="s">
        <v>272</v>
      </c>
      <c r="AC178" s="50" t="s">
        <v>107</v>
      </c>
      <c r="AD178" s="67">
        <v>891</v>
      </c>
      <c r="AE178" s="67">
        <v>891</v>
      </c>
      <c r="AF178" s="67">
        <v>891</v>
      </c>
      <c r="AG178" s="67">
        <v>891</v>
      </c>
      <c r="AH178" s="67">
        <v>891</v>
      </c>
      <c r="AI178" s="67">
        <v>891</v>
      </c>
      <c r="AJ178" s="107">
        <f>SUM(AD178:AI178)</f>
        <v>5346</v>
      </c>
      <c r="AK178" s="49">
        <v>2027</v>
      </c>
    </row>
    <row r="179" spans="1:37" s="35" customFormat="1" ht="120">
      <c r="A179" s="247"/>
      <c r="B179" s="185"/>
      <c r="C179" s="185"/>
      <c r="D179" s="185"/>
      <c r="E179" s="185"/>
      <c r="F179" s="185"/>
      <c r="G179" s="185"/>
      <c r="H179" s="185"/>
      <c r="I179" s="185"/>
      <c r="J179" s="185"/>
      <c r="K179" s="185"/>
      <c r="L179" s="185"/>
      <c r="M179" s="185"/>
      <c r="N179" s="185"/>
      <c r="O179" s="185"/>
      <c r="P179" s="185"/>
      <c r="Q179" s="185"/>
      <c r="R179" s="185"/>
      <c r="S179" s="185">
        <v>1</v>
      </c>
      <c r="T179" s="185">
        <v>2</v>
      </c>
      <c r="U179" s="185">
        <v>2</v>
      </c>
      <c r="V179" s="185">
        <v>0</v>
      </c>
      <c r="W179" s="185">
        <v>2</v>
      </c>
      <c r="X179" s="185">
        <v>0</v>
      </c>
      <c r="Y179" s="185">
        <v>3</v>
      </c>
      <c r="Z179" s="185">
        <v>0</v>
      </c>
      <c r="AA179" s="185">
        <v>0</v>
      </c>
      <c r="AB179" s="141" t="s">
        <v>229</v>
      </c>
      <c r="AC179" s="131"/>
      <c r="AD179" s="157"/>
      <c r="AE179" s="157"/>
      <c r="AF179" s="157"/>
      <c r="AG179" s="157"/>
      <c r="AH179" s="157"/>
      <c r="AI179" s="157"/>
      <c r="AJ179" s="147"/>
      <c r="AK179" s="136"/>
    </row>
    <row r="180" spans="1:37" s="35" customFormat="1" ht="119.25">
      <c r="A180" s="247"/>
      <c r="B180" s="185"/>
      <c r="C180" s="185"/>
      <c r="D180" s="185"/>
      <c r="E180" s="185"/>
      <c r="F180" s="185"/>
      <c r="G180" s="185"/>
      <c r="H180" s="185"/>
      <c r="I180" s="185"/>
      <c r="J180" s="185"/>
      <c r="K180" s="185"/>
      <c r="L180" s="185"/>
      <c r="M180" s="185"/>
      <c r="N180" s="185"/>
      <c r="O180" s="185"/>
      <c r="P180" s="185"/>
      <c r="Q180" s="185"/>
      <c r="R180" s="185"/>
      <c r="S180" s="185">
        <v>1</v>
      </c>
      <c r="T180" s="185">
        <v>2</v>
      </c>
      <c r="U180" s="185">
        <v>2</v>
      </c>
      <c r="V180" s="185">
        <v>0</v>
      </c>
      <c r="W180" s="185">
        <v>2</v>
      </c>
      <c r="X180" s="185">
        <v>0</v>
      </c>
      <c r="Y180" s="185">
        <v>3</v>
      </c>
      <c r="Z180" s="185">
        <v>0</v>
      </c>
      <c r="AA180" s="185">
        <v>1</v>
      </c>
      <c r="AB180" s="66" t="s">
        <v>273</v>
      </c>
      <c r="AC180" s="50" t="s">
        <v>95</v>
      </c>
      <c r="AD180" s="67">
        <v>120</v>
      </c>
      <c r="AE180" s="67">
        <v>120</v>
      </c>
      <c r="AF180" s="67">
        <v>120</v>
      </c>
      <c r="AG180" s="67">
        <v>120</v>
      </c>
      <c r="AH180" s="67">
        <v>120</v>
      </c>
      <c r="AI180" s="67">
        <v>120</v>
      </c>
      <c r="AJ180" s="107">
        <f>SUM(AD180:AI180)</f>
        <v>720</v>
      </c>
      <c r="AK180" s="49">
        <v>2027</v>
      </c>
    </row>
    <row r="181" spans="1:37" s="35" customFormat="1" ht="105">
      <c r="A181" s="247"/>
      <c r="B181" s="185"/>
      <c r="C181" s="185"/>
      <c r="D181" s="185"/>
      <c r="E181" s="185"/>
      <c r="F181" s="185"/>
      <c r="G181" s="185"/>
      <c r="H181" s="185"/>
      <c r="I181" s="185"/>
      <c r="J181" s="185"/>
      <c r="K181" s="185"/>
      <c r="L181" s="185"/>
      <c r="M181" s="185"/>
      <c r="N181" s="185"/>
      <c r="O181" s="185"/>
      <c r="P181" s="185"/>
      <c r="Q181" s="185"/>
      <c r="R181" s="185"/>
      <c r="S181" s="185">
        <v>1</v>
      </c>
      <c r="T181" s="185">
        <v>2</v>
      </c>
      <c r="U181" s="185">
        <v>2</v>
      </c>
      <c r="V181" s="185">
        <v>0</v>
      </c>
      <c r="W181" s="185">
        <v>2</v>
      </c>
      <c r="X181" s="185">
        <v>0</v>
      </c>
      <c r="Y181" s="185">
        <v>4</v>
      </c>
      <c r="Z181" s="185">
        <v>0</v>
      </c>
      <c r="AA181" s="185">
        <v>0</v>
      </c>
      <c r="AB181" s="141" t="s">
        <v>227</v>
      </c>
      <c r="AC181" s="131"/>
      <c r="AD181" s="157"/>
      <c r="AE181" s="157"/>
      <c r="AF181" s="157"/>
      <c r="AG181" s="157"/>
      <c r="AH181" s="157"/>
      <c r="AI181" s="157"/>
      <c r="AJ181" s="147"/>
      <c r="AK181" s="136"/>
    </row>
    <row r="182" spans="1:37" s="35" customFormat="1" ht="96" customHeight="1">
      <c r="A182" s="247"/>
      <c r="B182" s="185"/>
      <c r="C182" s="185"/>
      <c r="D182" s="185"/>
      <c r="E182" s="185"/>
      <c r="F182" s="185"/>
      <c r="G182" s="185"/>
      <c r="H182" s="185"/>
      <c r="I182" s="185"/>
      <c r="J182" s="185"/>
      <c r="K182" s="185"/>
      <c r="L182" s="185"/>
      <c r="M182" s="185"/>
      <c r="N182" s="185"/>
      <c r="O182" s="185"/>
      <c r="P182" s="185"/>
      <c r="Q182" s="185"/>
      <c r="R182" s="185"/>
      <c r="S182" s="185">
        <v>1</v>
      </c>
      <c r="T182" s="185">
        <v>2</v>
      </c>
      <c r="U182" s="185">
        <v>2</v>
      </c>
      <c r="V182" s="185">
        <v>0</v>
      </c>
      <c r="W182" s="185">
        <v>2</v>
      </c>
      <c r="X182" s="185">
        <v>0</v>
      </c>
      <c r="Y182" s="185">
        <v>4</v>
      </c>
      <c r="Z182" s="185">
        <v>0</v>
      </c>
      <c r="AA182" s="185">
        <v>1</v>
      </c>
      <c r="AB182" s="113" t="s">
        <v>274</v>
      </c>
      <c r="AC182" s="50" t="s">
        <v>94</v>
      </c>
      <c r="AD182" s="67">
        <v>86</v>
      </c>
      <c r="AE182" s="67">
        <v>86</v>
      </c>
      <c r="AF182" s="67">
        <v>86</v>
      </c>
      <c r="AG182" s="67">
        <v>86</v>
      </c>
      <c r="AH182" s="67">
        <v>86</v>
      </c>
      <c r="AI182" s="67">
        <v>86</v>
      </c>
      <c r="AJ182" s="107">
        <f>SUM(AD182:AI182)</f>
        <v>516</v>
      </c>
      <c r="AK182" s="49">
        <v>2027</v>
      </c>
    </row>
    <row r="183" spans="1:37" s="35" customFormat="1" ht="75">
      <c r="A183" s="247"/>
      <c r="B183" s="185"/>
      <c r="C183" s="185"/>
      <c r="D183" s="185"/>
      <c r="E183" s="185"/>
      <c r="F183" s="185"/>
      <c r="G183" s="185"/>
      <c r="H183" s="185"/>
      <c r="I183" s="185"/>
      <c r="J183" s="185"/>
      <c r="K183" s="185"/>
      <c r="L183" s="185"/>
      <c r="M183" s="185"/>
      <c r="N183" s="185"/>
      <c r="O183" s="185"/>
      <c r="P183" s="185"/>
      <c r="Q183" s="185"/>
      <c r="R183" s="185"/>
      <c r="S183" s="185">
        <v>1</v>
      </c>
      <c r="T183" s="185">
        <v>2</v>
      </c>
      <c r="U183" s="185">
        <v>2</v>
      </c>
      <c r="V183" s="185">
        <v>0</v>
      </c>
      <c r="W183" s="185">
        <v>3</v>
      </c>
      <c r="X183" s="185">
        <v>0</v>
      </c>
      <c r="Y183" s="185">
        <v>0</v>
      </c>
      <c r="Z183" s="185">
        <v>0</v>
      </c>
      <c r="AA183" s="185">
        <v>0</v>
      </c>
      <c r="AB183" s="127" t="s">
        <v>102</v>
      </c>
      <c r="AC183" s="144"/>
      <c r="AD183" s="129"/>
      <c r="AE183" s="129"/>
      <c r="AF183" s="129"/>
      <c r="AG183" s="129"/>
      <c r="AH183" s="129"/>
      <c r="AI183" s="129"/>
      <c r="AJ183" s="130"/>
      <c r="AK183" s="121"/>
    </row>
    <row r="184" spans="1:37" s="35" customFormat="1" ht="75">
      <c r="A184" s="247"/>
      <c r="B184" s="185"/>
      <c r="C184" s="185"/>
      <c r="D184" s="185"/>
      <c r="E184" s="185"/>
      <c r="F184" s="185"/>
      <c r="G184" s="185"/>
      <c r="H184" s="185"/>
      <c r="I184" s="185"/>
      <c r="J184" s="185"/>
      <c r="K184" s="185"/>
      <c r="L184" s="185"/>
      <c r="M184" s="185"/>
      <c r="N184" s="185"/>
      <c r="O184" s="185"/>
      <c r="P184" s="185"/>
      <c r="Q184" s="185"/>
      <c r="R184" s="185"/>
      <c r="S184" s="185">
        <v>1</v>
      </c>
      <c r="T184" s="185">
        <v>2</v>
      </c>
      <c r="U184" s="185">
        <v>2</v>
      </c>
      <c r="V184" s="185">
        <v>0</v>
      </c>
      <c r="W184" s="185">
        <v>3</v>
      </c>
      <c r="X184" s="185">
        <v>0</v>
      </c>
      <c r="Y184" s="185">
        <v>0</v>
      </c>
      <c r="Z184" s="185">
        <v>0</v>
      </c>
      <c r="AA184" s="185">
        <v>1</v>
      </c>
      <c r="AB184" s="77" t="s">
        <v>103</v>
      </c>
      <c r="AC184" s="50" t="s">
        <v>94</v>
      </c>
      <c r="AD184" s="37">
        <v>100</v>
      </c>
      <c r="AE184" s="37">
        <v>100</v>
      </c>
      <c r="AF184" s="37">
        <v>100</v>
      </c>
      <c r="AG184" s="37">
        <v>100</v>
      </c>
      <c r="AH184" s="37">
        <v>100</v>
      </c>
      <c r="AI184" s="37">
        <v>100</v>
      </c>
      <c r="AJ184" s="58">
        <v>100</v>
      </c>
      <c r="AK184" s="49">
        <v>2027</v>
      </c>
    </row>
    <row r="185" spans="1:37" s="35" customFormat="1" ht="69" customHeight="1">
      <c r="A185" s="247"/>
      <c r="B185" s="185"/>
      <c r="C185" s="185"/>
      <c r="D185" s="185"/>
      <c r="E185" s="185"/>
      <c r="F185" s="185"/>
      <c r="G185" s="185"/>
      <c r="H185" s="185"/>
      <c r="I185" s="185"/>
      <c r="J185" s="185"/>
      <c r="K185" s="185"/>
      <c r="L185" s="185"/>
      <c r="M185" s="185"/>
      <c r="N185" s="185"/>
      <c r="O185" s="185"/>
      <c r="P185" s="185"/>
      <c r="Q185" s="185"/>
      <c r="R185" s="185"/>
      <c r="S185" s="185">
        <v>1</v>
      </c>
      <c r="T185" s="185">
        <v>2</v>
      </c>
      <c r="U185" s="185">
        <v>2</v>
      </c>
      <c r="V185" s="185">
        <v>0</v>
      </c>
      <c r="W185" s="185">
        <v>3</v>
      </c>
      <c r="X185" s="185">
        <v>0</v>
      </c>
      <c r="Y185" s="185">
        <v>0</v>
      </c>
      <c r="Z185" s="185">
        <v>0</v>
      </c>
      <c r="AA185" s="185">
        <v>2</v>
      </c>
      <c r="AB185" s="79" t="s">
        <v>104</v>
      </c>
      <c r="AC185" s="50" t="s">
        <v>94</v>
      </c>
      <c r="AD185" s="37">
        <v>100</v>
      </c>
      <c r="AE185" s="37">
        <v>100</v>
      </c>
      <c r="AF185" s="37">
        <v>100</v>
      </c>
      <c r="AG185" s="37">
        <v>100</v>
      </c>
      <c r="AH185" s="37">
        <v>100</v>
      </c>
      <c r="AI185" s="37">
        <v>100</v>
      </c>
      <c r="AJ185" s="58">
        <v>100</v>
      </c>
      <c r="AK185" s="49">
        <v>2027</v>
      </c>
    </row>
    <row r="186" spans="1:37" s="35" customFormat="1" ht="81" customHeight="1">
      <c r="A186" s="247"/>
      <c r="B186" s="185"/>
      <c r="C186" s="185"/>
      <c r="D186" s="185"/>
      <c r="E186" s="185"/>
      <c r="F186" s="185"/>
      <c r="G186" s="185"/>
      <c r="H186" s="185"/>
      <c r="I186" s="185"/>
      <c r="J186" s="185"/>
      <c r="K186" s="185"/>
      <c r="L186" s="185"/>
      <c r="M186" s="185"/>
      <c r="N186" s="185"/>
      <c r="O186" s="185"/>
      <c r="P186" s="185"/>
      <c r="Q186" s="185"/>
      <c r="R186" s="185"/>
      <c r="S186" s="185">
        <v>1</v>
      </c>
      <c r="T186" s="185">
        <v>2</v>
      </c>
      <c r="U186" s="185">
        <v>2</v>
      </c>
      <c r="V186" s="185">
        <v>0</v>
      </c>
      <c r="W186" s="185">
        <v>3</v>
      </c>
      <c r="X186" s="185">
        <v>0</v>
      </c>
      <c r="Y186" s="185">
        <v>0</v>
      </c>
      <c r="Z186" s="185">
        <v>0</v>
      </c>
      <c r="AA186" s="185">
        <v>3</v>
      </c>
      <c r="AB186" s="77" t="s">
        <v>105</v>
      </c>
      <c r="AC186" s="50" t="s">
        <v>94</v>
      </c>
      <c r="AD186" s="37">
        <v>100</v>
      </c>
      <c r="AE186" s="37">
        <v>100</v>
      </c>
      <c r="AF186" s="37">
        <v>100</v>
      </c>
      <c r="AG186" s="37">
        <v>100</v>
      </c>
      <c r="AH186" s="37">
        <v>100</v>
      </c>
      <c r="AI186" s="37">
        <v>100</v>
      </c>
      <c r="AJ186" s="58">
        <v>100</v>
      </c>
      <c r="AK186" s="49">
        <v>2027</v>
      </c>
    </row>
    <row r="187" spans="1:37" s="35" customFormat="1" ht="73.5" customHeight="1">
      <c r="A187" s="247"/>
      <c r="B187" s="185"/>
      <c r="C187" s="185"/>
      <c r="D187" s="185"/>
      <c r="E187" s="185"/>
      <c r="F187" s="185"/>
      <c r="G187" s="185"/>
      <c r="H187" s="185"/>
      <c r="I187" s="185"/>
      <c r="J187" s="185"/>
      <c r="K187" s="185"/>
      <c r="L187" s="185"/>
      <c r="M187" s="185"/>
      <c r="N187" s="185"/>
      <c r="O187" s="185"/>
      <c r="P187" s="185"/>
      <c r="Q187" s="185"/>
      <c r="R187" s="185"/>
      <c r="S187" s="185">
        <v>1</v>
      </c>
      <c r="T187" s="185">
        <v>2</v>
      </c>
      <c r="U187" s="185">
        <v>2</v>
      </c>
      <c r="V187" s="185">
        <v>0</v>
      </c>
      <c r="W187" s="185">
        <v>3</v>
      </c>
      <c r="X187" s="185">
        <v>0</v>
      </c>
      <c r="Y187" s="185">
        <v>1</v>
      </c>
      <c r="Z187" s="185">
        <v>0</v>
      </c>
      <c r="AA187" s="185">
        <v>0</v>
      </c>
      <c r="AB187" s="237" t="s">
        <v>2</v>
      </c>
      <c r="AC187" s="131" t="s">
        <v>96</v>
      </c>
      <c r="AD187" s="134"/>
      <c r="AE187" s="146"/>
      <c r="AF187" s="134"/>
      <c r="AG187" s="134"/>
      <c r="AH187" s="134"/>
      <c r="AI187" s="134"/>
      <c r="AJ187" s="147"/>
      <c r="AK187" s="136"/>
    </row>
    <row r="188" spans="1:37" s="35" customFormat="1" ht="37.5" customHeight="1">
      <c r="A188" s="247"/>
      <c r="B188" s="185"/>
      <c r="C188" s="185"/>
      <c r="D188" s="185"/>
      <c r="E188" s="185"/>
      <c r="F188" s="185"/>
      <c r="G188" s="185"/>
      <c r="H188" s="185"/>
      <c r="I188" s="185"/>
      <c r="J188" s="185"/>
      <c r="K188" s="185"/>
      <c r="L188" s="185"/>
      <c r="M188" s="185"/>
      <c r="N188" s="185"/>
      <c r="O188" s="185"/>
      <c r="P188" s="185"/>
      <c r="Q188" s="185"/>
      <c r="R188" s="185"/>
      <c r="S188" s="185"/>
      <c r="T188" s="185"/>
      <c r="U188" s="185"/>
      <c r="V188" s="185"/>
      <c r="W188" s="185"/>
      <c r="X188" s="185"/>
      <c r="Y188" s="185"/>
      <c r="Z188" s="185"/>
      <c r="AA188" s="185"/>
      <c r="AB188" s="238"/>
      <c r="AC188" s="131" t="s">
        <v>96</v>
      </c>
      <c r="AD188" s="134"/>
      <c r="AE188" s="146"/>
      <c r="AF188" s="134"/>
      <c r="AG188" s="134"/>
      <c r="AH188" s="134"/>
      <c r="AI188" s="134"/>
      <c r="AJ188" s="147"/>
      <c r="AK188" s="136"/>
    </row>
    <row r="189" spans="1:37" s="35" customFormat="1" ht="66.75" customHeight="1">
      <c r="A189" s="247"/>
      <c r="B189" s="185"/>
      <c r="C189" s="185"/>
      <c r="D189" s="185"/>
      <c r="E189" s="185"/>
      <c r="F189" s="185"/>
      <c r="G189" s="185"/>
      <c r="H189" s="185"/>
      <c r="I189" s="185"/>
      <c r="J189" s="185"/>
      <c r="K189" s="185"/>
      <c r="L189" s="185"/>
      <c r="M189" s="185"/>
      <c r="N189" s="185"/>
      <c r="O189" s="185"/>
      <c r="P189" s="185"/>
      <c r="Q189" s="185"/>
      <c r="R189" s="185"/>
      <c r="S189" s="185">
        <v>1</v>
      </c>
      <c r="T189" s="185">
        <v>2</v>
      </c>
      <c r="U189" s="185">
        <v>2</v>
      </c>
      <c r="V189" s="185">
        <v>0</v>
      </c>
      <c r="W189" s="185">
        <v>3</v>
      </c>
      <c r="X189" s="185">
        <v>0</v>
      </c>
      <c r="Y189" s="185">
        <v>1</v>
      </c>
      <c r="Z189" s="185">
        <v>0</v>
      </c>
      <c r="AA189" s="185">
        <v>1</v>
      </c>
      <c r="AB189" s="77" t="s">
        <v>3</v>
      </c>
      <c r="AC189" s="50" t="s">
        <v>107</v>
      </c>
      <c r="AD189" s="37">
        <v>156</v>
      </c>
      <c r="AE189" s="37">
        <v>156</v>
      </c>
      <c r="AF189" s="37">
        <v>156</v>
      </c>
      <c r="AG189" s="37">
        <v>156</v>
      </c>
      <c r="AH189" s="37">
        <v>156</v>
      </c>
      <c r="AI189" s="37">
        <v>156</v>
      </c>
      <c r="AJ189" s="37">
        <f>SUM(AD189:AI189)</f>
        <v>936</v>
      </c>
      <c r="AK189" s="37">
        <v>2027</v>
      </c>
    </row>
    <row r="190" spans="1:38" s="35" customFormat="1" ht="69" customHeight="1">
      <c r="A190" s="247"/>
      <c r="B190" s="185"/>
      <c r="C190" s="185"/>
      <c r="D190" s="185"/>
      <c r="E190" s="185"/>
      <c r="F190" s="185"/>
      <c r="G190" s="185"/>
      <c r="H190" s="185"/>
      <c r="I190" s="185"/>
      <c r="J190" s="185"/>
      <c r="K190" s="185"/>
      <c r="L190" s="185"/>
      <c r="M190" s="185"/>
      <c r="N190" s="185"/>
      <c r="O190" s="185"/>
      <c r="P190" s="185"/>
      <c r="Q190" s="185"/>
      <c r="R190" s="185"/>
      <c r="S190" s="185">
        <v>1</v>
      </c>
      <c r="T190" s="185">
        <v>2</v>
      </c>
      <c r="U190" s="185">
        <v>2</v>
      </c>
      <c r="V190" s="185">
        <v>0</v>
      </c>
      <c r="W190" s="185">
        <v>3</v>
      </c>
      <c r="X190" s="185">
        <v>0</v>
      </c>
      <c r="Y190" s="185">
        <v>1</v>
      </c>
      <c r="Z190" s="185">
        <v>0</v>
      </c>
      <c r="AA190" s="185">
        <v>2</v>
      </c>
      <c r="AB190" s="82" t="s">
        <v>4</v>
      </c>
      <c r="AC190" s="52" t="s">
        <v>107</v>
      </c>
      <c r="AD190" s="97">
        <v>217</v>
      </c>
      <c r="AE190" s="97">
        <v>217</v>
      </c>
      <c r="AF190" s="97">
        <v>217</v>
      </c>
      <c r="AG190" s="97">
        <v>217</v>
      </c>
      <c r="AH190" s="97">
        <v>217</v>
      </c>
      <c r="AI190" s="97">
        <v>217</v>
      </c>
      <c r="AJ190" s="97">
        <f>SUM(AD190:AI190)</f>
        <v>1302</v>
      </c>
      <c r="AK190" s="37">
        <v>2027</v>
      </c>
      <c r="AL190" s="63"/>
    </row>
    <row r="191" spans="1:37" s="35" customFormat="1" ht="0.75" customHeight="1">
      <c r="A191" s="247"/>
      <c r="B191" s="186"/>
      <c r="C191" s="186"/>
      <c r="D191" s="186"/>
      <c r="E191" s="186"/>
      <c r="F191" s="186"/>
      <c r="G191" s="186"/>
      <c r="H191" s="186"/>
      <c r="I191" s="186"/>
      <c r="J191" s="186"/>
      <c r="K191" s="186"/>
      <c r="L191" s="186"/>
      <c r="M191" s="186"/>
      <c r="N191" s="186"/>
      <c r="O191" s="186"/>
      <c r="P191" s="186"/>
      <c r="Q191" s="186"/>
      <c r="R191" s="186"/>
      <c r="S191" s="185">
        <v>1</v>
      </c>
      <c r="T191" s="185">
        <v>2</v>
      </c>
      <c r="U191" s="185">
        <v>2</v>
      </c>
      <c r="V191" s="185">
        <v>0</v>
      </c>
      <c r="W191" s="185">
        <v>3</v>
      </c>
      <c r="X191" s="185">
        <v>0</v>
      </c>
      <c r="Y191" s="185">
        <v>4</v>
      </c>
      <c r="Z191" s="186">
        <v>0</v>
      </c>
      <c r="AA191" s="186">
        <v>1</v>
      </c>
      <c r="AB191" s="66" t="s">
        <v>14</v>
      </c>
      <c r="AC191" s="50" t="s">
        <v>95</v>
      </c>
      <c r="AD191" s="37"/>
      <c r="AE191" s="100"/>
      <c r="AF191" s="37"/>
      <c r="AG191" s="37"/>
      <c r="AH191" s="37"/>
      <c r="AI191" s="37"/>
      <c r="AJ191" s="58"/>
      <c r="AK191" s="37"/>
    </row>
    <row r="192" spans="1:37" s="35" customFormat="1" ht="52.5" customHeight="1">
      <c r="A192" s="247"/>
      <c r="B192" s="185"/>
      <c r="C192" s="185"/>
      <c r="D192" s="185"/>
      <c r="E192" s="185"/>
      <c r="F192" s="185"/>
      <c r="G192" s="185"/>
      <c r="H192" s="185"/>
      <c r="I192" s="185"/>
      <c r="J192" s="185"/>
      <c r="K192" s="185"/>
      <c r="L192" s="185"/>
      <c r="M192" s="185"/>
      <c r="N192" s="185"/>
      <c r="O192" s="185"/>
      <c r="P192" s="186"/>
      <c r="Q192" s="186"/>
      <c r="R192" s="186"/>
      <c r="S192" s="186">
        <v>1</v>
      </c>
      <c r="T192" s="186">
        <v>2</v>
      </c>
      <c r="U192" s="186">
        <v>3</v>
      </c>
      <c r="V192" s="186">
        <v>0</v>
      </c>
      <c r="W192" s="186">
        <v>0</v>
      </c>
      <c r="X192" s="186">
        <v>0</v>
      </c>
      <c r="Y192" s="185">
        <v>0</v>
      </c>
      <c r="Z192" s="186">
        <v>0</v>
      </c>
      <c r="AA192" s="186">
        <v>0</v>
      </c>
      <c r="AB192" s="83" t="s">
        <v>333</v>
      </c>
      <c r="AC192" s="73" t="s">
        <v>96</v>
      </c>
      <c r="AD192" s="159"/>
      <c r="AE192" s="159"/>
      <c r="AF192" s="159"/>
      <c r="AG192" s="159"/>
      <c r="AH192" s="159"/>
      <c r="AI192" s="159"/>
      <c r="AJ192" s="159"/>
      <c r="AK192" s="96"/>
    </row>
    <row r="193" spans="1:37" s="35" customFormat="1" ht="47.25" customHeight="1">
      <c r="A193" s="247"/>
      <c r="B193" s="185"/>
      <c r="C193" s="185"/>
      <c r="D193" s="185"/>
      <c r="E193" s="185"/>
      <c r="F193" s="185"/>
      <c r="G193" s="185"/>
      <c r="H193" s="185"/>
      <c r="I193" s="185"/>
      <c r="J193" s="185"/>
      <c r="K193" s="185"/>
      <c r="L193" s="185"/>
      <c r="M193" s="185"/>
      <c r="N193" s="185"/>
      <c r="O193" s="185"/>
      <c r="P193" s="185"/>
      <c r="Q193" s="185"/>
      <c r="R193" s="185"/>
      <c r="S193" s="186">
        <v>1</v>
      </c>
      <c r="T193" s="186">
        <v>2</v>
      </c>
      <c r="U193" s="186">
        <v>3</v>
      </c>
      <c r="V193" s="186">
        <v>0</v>
      </c>
      <c r="W193" s="186">
        <v>1</v>
      </c>
      <c r="X193" s="186">
        <v>0</v>
      </c>
      <c r="Y193" s="185">
        <v>0</v>
      </c>
      <c r="Z193" s="185">
        <v>0</v>
      </c>
      <c r="AA193" s="185">
        <v>0</v>
      </c>
      <c r="AB193" s="158" t="s">
        <v>181</v>
      </c>
      <c r="AC193" s="144"/>
      <c r="AD193" s="129"/>
      <c r="AE193" s="129"/>
      <c r="AF193" s="129"/>
      <c r="AG193" s="129"/>
      <c r="AH193" s="129"/>
      <c r="AI193" s="129"/>
      <c r="AJ193" s="130"/>
      <c r="AK193" s="129"/>
    </row>
    <row r="194" spans="1:37" s="35" customFormat="1" ht="51.75" customHeight="1">
      <c r="A194" s="247"/>
      <c r="B194" s="185"/>
      <c r="C194" s="185"/>
      <c r="D194" s="185"/>
      <c r="E194" s="185"/>
      <c r="F194" s="185"/>
      <c r="G194" s="185"/>
      <c r="H194" s="185"/>
      <c r="I194" s="185"/>
      <c r="J194" s="185"/>
      <c r="K194" s="185"/>
      <c r="L194" s="185"/>
      <c r="M194" s="185"/>
      <c r="N194" s="185"/>
      <c r="O194" s="185"/>
      <c r="P194" s="185"/>
      <c r="Q194" s="185"/>
      <c r="R194" s="185"/>
      <c r="S194" s="186">
        <v>1</v>
      </c>
      <c r="T194" s="186">
        <v>2</v>
      </c>
      <c r="U194" s="186">
        <v>3</v>
      </c>
      <c r="V194" s="186">
        <v>0</v>
      </c>
      <c r="W194" s="186">
        <v>1</v>
      </c>
      <c r="X194" s="186">
        <v>0</v>
      </c>
      <c r="Y194" s="185">
        <v>0</v>
      </c>
      <c r="Z194" s="185">
        <v>0</v>
      </c>
      <c r="AA194" s="185">
        <v>1</v>
      </c>
      <c r="AB194" s="66" t="s">
        <v>213</v>
      </c>
      <c r="AC194" s="36" t="s">
        <v>94</v>
      </c>
      <c r="AD194" s="37">
        <v>100</v>
      </c>
      <c r="AE194" s="37">
        <v>100</v>
      </c>
      <c r="AF194" s="37">
        <v>100</v>
      </c>
      <c r="AG194" s="37">
        <v>100</v>
      </c>
      <c r="AH194" s="37">
        <v>100</v>
      </c>
      <c r="AI194" s="37">
        <v>100</v>
      </c>
      <c r="AJ194" s="58">
        <v>100</v>
      </c>
      <c r="AK194" s="37">
        <v>2027</v>
      </c>
    </row>
    <row r="195" spans="1:37" s="35" customFormat="1" ht="60.75" customHeight="1">
      <c r="A195" s="247"/>
      <c r="B195" s="195"/>
      <c r="C195" s="195"/>
      <c r="D195" s="195"/>
      <c r="E195" s="195"/>
      <c r="F195" s="195"/>
      <c r="G195" s="195"/>
      <c r="H195" s="195"/>
      <c r="I195" s="195"/>
      <c r="J195" s="195"/>
      <c r="K195" s="195"/>
      <c r="L195" s="195"/>
      <c r="M195" s="195"/>
      <c r="N195" s="195"/>
      <c r="O195" s="195"/>
      <c r="P195" s="195"/>
      <c r="Q195" s="195"/>
      <c r="R195" s="195"/>
      <c r="S195" s="186">
        <v>1</v>
      </c>
      <c r="T195" s="186">
        <v>2</v>
      </c>
      <c r="U195" s="186">
        <v>3</v>
      </c>
      <c r="V195" s="186">
        <v>0</v>
      </c>
      <c r="W195" s="186">
        <v>1</v>
      </c>
      <c r="X195" s="186">
        <v>0</v>
      </c>
      <c r="Y195" s="185">
        <v>1</v>
      </c>
      <c r="Z195" s="195">
        <v>0</v>
      </c>
      <c r="AA195" s="195">
        <v>0</v>
      </c>
      <c r="AB195" s="167" t="s">
        <v>15</v>
      </c>
      <c r="AC195" s="131" t="s">
        <v>93</v>
      </c>
      <c r="AD195" s="134"/>
      <c r="AE195" s="134"/>
      <c r="AF195" s="134"/>
      <c r="AG195" s="134"/>
      <c r="AH195" s="134"/>
      <c r="AI195" s="134"/>
      <c r="AJ195" s="147"/>
      <c r="AK195" s="136"/>
    </row>
    <row r="196" spans="1:37" s="35" customFormat="1" ht="90.75" customHeight="1">
      <c r="A196" s="247"/>
      <c r="B196" s="195"/>
      <c r="C196" s="195"/>
      <c r="D196" s="195"/>
      <c r="E196" s="195"/>
      <c r="F196" s="195"/>
      <c r="G196" s="195"/>
      <c r="H196" s="195"/>
      <c r="I196" s="195"/>
      <c r="J196" s="195"/>
      <c r="K196" s="195"/>
      <c r="L196" s="195"/>
      <c r="M196" s="195"/>
      <c r="N196" s="195"/>
      <c r="O196" s="195"/>
      <c r="P196" s="195"/>
      <c r="Q196" s="195"/>
      <c r="R196" s="195"/>
      <c r="S196" s="186">
        <v>1</v>
      </c>
      <c r="T196" s="186">
        <v>2</v>
      </c>
      <c r="U196" s="186">
        <v>3</v>
      </c>
      <c r="V196" s="186">
        <v>0</v>
      </c>
      <c r="W196" s="186">
        <v>1</v>
      </c>
      <c r="X196" s="186">
        <v>0</v>
      </c>
      <c r="Y196" s="185">
        <v>1</v>
      </c>
      <c r="Z196" s="195">
        <v>0</v>
      </c>
      <c r="AA196" s="195">
        <v>1</v>
      </c>
      <c r="AB196" s="79" t="s">
        <v>16</v>
      </c>
      <c r="AC196" s="50" t="s">
        <v>95</v>
      </c>
      <c r="AD196" s="37">
        <v>8</v>
      </c>
      <c r="AE196" s="97">
        <v>8</v>
      </c>
      <c r="AF196" s="37">
        <v>8</v>
      </c>
      <c r="AG196" s="37">
        <v>8</v>
      </c>
      <c r="AH196" s="37">
        <v>8</v>
      </c>
      <c r="AI196" s="37">
        <v>8</v>
      </c>
      <c r="AJ196" s="58">
        <f>SUM(AD196:AI196)</f>
        <v>48</v>
      </c>
      <c r="AK196" s="34">
        <v>2027</v>
      </c>
    </row>
    <row r="197" spans="1:37" s="35" customFormat="1" ht="74.25" customHeight="1">
      <c r="A197" s="248"/>
      <c r="B197" s="196"/>
      <c r="C197" s="195"/>
      <c r="D197" s="195"/>
      <c r="E197" s="195"/>
      <c r="F197" s="195"/>
      <c r="G197" s="195"/>
      <c r="H197" s="195"/>
      <c r="I197" s="195"/>
      <c r="J197" s="195"/>
      <c r="K197" s="195"/>
      <c r="L197" s="195"/>
      <c r="M197" s="195"/>
      <c r="N197" s="195"/>
      <c r="O197" s="195"/>
      <c r="P197" s="196"/>
      <c r="Q197" s="196"/>
      <c r="R197" s="196"/>
      <c r="S197" s="186">
        <v>1</v>
      </c>
      <c r="T197" s="186">
        <v>2</v>
      </c>
      <c r="U197" s="186">
        <v>3</v>
      </c>
      <c r="V197" s="186">
        <v>0</v>
      </c>
      <c r="W197" s="186">
        <v>1</v>
      </c>
      <c r="X197" s="186">
        <v>0</v>
      </c>
      <c r="Y197" s="185">
        <v>2</v>
      </c>
      <c r="Z197" s="196">
        <v>0</v>
      </c>
      <c r="AA197" s="196">
        <v>0</v>
      </c>
      <c r="AB197" s="198" t="s">
        <v>17</v>
      </c>
      <c r="AC197" s="131" t="s">
        <v>93</v>
      </c>
      <c r="AD197" s="199"/>
      <c r="AE197" s="199"/>
      <c r="AF197" s="199"/>
      <c r="AG197" s="199"/>
      <c r="AH197" s="199"/>
      <c r="AI197" s="199"/>
      <c r="AJ197" s="147"/>
      <c r="AK197" s="134"/>
    </row>
    <row r="198" spans="1:37" s="35" customFormat="1" ht="93.75" customHeight="1">
      <c r="A198" s="248"/>
      <c r="B198" s="196"/>
      <c r="C198" s="195"/>
      <c r="D198" s="195"/>
      <c r="E198" s="195"/>
      <c r="F198" s="195"/>
      <c r="G198" s="195"/>
      <c r="H198" s="195"/>
      <c r="I198" s="195"/>
      <c r="J198" s="195"/>
      <c r="K198" s="195"/>
      <c r="L198" s="195"/>
      <c r="M198" s="195"/>
      <c r="N198" s="195"/>
      <c r="O198" s="195"/>
      <c r="P198" s="196"/>
      <c r="Q198" s="196"/>
      <c r="R198" s="196"/>
      <c r="S198" s="186">
        <v>1</v>
      </c>
      <c r="T198" s="186">
        <v>2</v>
      </c>
      <c r="U198" s="186">
        <v>3</v>
      </c>
      <c r="V198" s="186">
        <v>0</v>
      </c>
      <c r="W198" s="186">
        <v>1</v>
      </c>
      <c r="X198" s="186">
        <v>0</v>
      </c>
      <c r="Y198" s="185">
        <v>2</v>
      </c>
      <c r="Z198" s="196">
        <v>0</v>
      </c>
      <c r="AA198" s="196">
        <v>1</v>
      </c>
      <c r="AB198" s="84" t="s">
        <v>70</v>
      </c>
      <c r="AC198" s="50" t="s">
        <v>95</v>
      </c>
      <c r="AD198" s="108">
        <v>12</v>
      </c>
      <c r="AE198" s="108">
        <v>12</v>
      </c>
      <c r="AF198" s="108">
        <v>12</v>
      </c>
      <c r="AG198" s="108">
        <v>12</v>
      </c>
      <c r="AH198" s="108">
        <v>12</v>
      </c>
      <c r="AI198" s="108">
        <v>12</v>
      </c>
      <c r="AJ198" s="58">
        <f>SUM(AD198:AI198)</f>
        <v>72</v>
      </c>
      <c r="AK198" s="34">
        <v>2027</v>
      </c>
    </row>
    <row r="199" spans="1:37" s="35" customFormat="1" ht="75" customHeight="1">
      <c r="A199" s="248"/>
      <c r="B199" s="196"/>
      <c r="C199" s="195"/>
      <c r="D199" s="195"/>
      <c r="E199" s="195"/>
      <c r="F199" s="195"/>
      <c r="G199" s="195"/>
      <c r="H199" s="195"/>
      <c r="I199" s="195"/>
      <c r="J199" s="195"/>
      <c r="K199" s="195"/>
      <c r="L199" s="195"/>
      <c r="M199" s="195"/>
      <c r="N199" s="195"/>
      <c r="O199" s="195"/>
      <c r="P199" s="195"/>
      <c r="Q199" s="195"/>
      <c r="R199" s="195"/>
      <c r="S199" s="186">
        <v>1</v>
      </c>
      <c r="T199" s="186">
        <v>2</v>
      </c>
      <c r="U199" s="186">
        <v>3</v>
      </c>
      <c r="V199" s="186">
        <v>0</v>
      </c>
      <c r="W199" s="186">
        <v>1</v>
      </c>
      <c r="X199" s="186">
        <v>0</v>
      </c>
      <c r="Y199" s="185">
        <v>3</v>
      </c>
      <c r="Z199" s="195">
        <v>0</v>
      </c>
      <c r="AA199" s="195">
        <v>0</v>
      </c>
      <c r="AB199" s="198" t="s">
        <v>18</v>
      </c>
      <c r="AC199" s="131" t="s">
        <v>93</v>
      </c>
      <c r="AD199" s="199"/>
      <c r="AE199" s="199"/>
      <c r="AF199" s="199"/>
      <c r="AG199" s="199"/>
      <c r="AH199" s="199"/>
      <c r="AI199" s="199"/>
      <c r="AJ199" s="147"/>
      <c r="AK199" s="134"/>
    </row>
    <row r="200" spans="1:37" s="35" customFormat="1" ht="88.5" customHeight="1">
      <c r="A200" s="248"/>
      <c r="B200" s="196"/>
      <c r="C200" s="195"/>
      <c r="D200" s="195"/>
      <c r="E200" s="195"/>
      <c r="F200" s="195"/>
      <c r="G200" s="195"/>
      <c r="H200" s="195"/>
      <c r="I200" s="195"/>
      <c r="J200" s="195"/>
      <c r="K200" s="195"/>
      <c r="L200" s="195"/>
      <c r="M200" s="195"/>
      <c r="N200" s="195"/>
      <c r="O200" s="195"/>
      <c r="P200" s="196"/>
      <c r="Q200" s="196"/>
      <c r="R200" s="196"/>
      <c r="S200" s="186">
        <v>1</v>
      </c>
      <c r="T200" s="186">
        <v>2</v>
      </c>
      <c r="U200" s="186">
        <v>3</v>
      </c>
      <c r="V200" s="186">
        <v>0</v>
      </c>
      <c r="W200" s="186">
        <v>1</v>
      </c>
      <c r="X200" s="186">
        <v>0</v>
      </c>
      <c r="Y200" s="185">
        <v>3</v>
      </c>
      <c r="Z200" s="196">
        <v>0</v>
      </c>
      <c r="AA200" s="196">
        <v>1</v>
      </c>
      <c r="AB200" s="84" t="s">
        <v>49</v>
      </c>
      <c r="AC200" s="50" t="s">
        <v>95</v>
      </c>
      <c r="AD200" s="108">
        <v>2</v>
      </c>
      <c r="AE200" s="108">
        <v>2</v>
      </c>
      <c r="AF200" s="108">
        <v>2</v>
      </c>
      <c r="AG200" s="108">
        <v>2</v>
      </c>
      <c r="AH200" s="108">
        <v>2</v>
      </c>
      <c r="AI200" s="108">
        <v>2</v>
      </c>
      <c r="AJ200" s="58">
        <f>SUM(AD200:AI200)</f>
        <v>12</v>
      </c>
      <c r="AK200" s="34">
        <v>2027</v>
      </c>
    </row>
    <row r="201" spans="1:37" s="35" customFormat="1" ht="66" customHeight="1">
      <c r="A201" s="248"/>
      <c r="B201" s="185"/>
      <c r="C201" s="185"/>
      <c r="D201" s="185"/>
      <c r="E201" s="185"/>
      <c r="F201" s="185"/>
      <c r="G201" s="185"/>
      <c r="H201" s="185"/>
      <c r="I201" s="185"/>
      <c r="J201" s="185"/>
      <c r="K201" s="185"/>
      <c r="L201" s="185"/>
      <c r="M201" s="185"/>
      <c r="N201" s="185"/>
      <c r="O201" s="185"/>
      <c r="P201" s="195"/>
      <c r="Q201" s="195"/>
      <c r="R201" s="195"/>
      <c r="S201" s="186">
        <v>1</v>
      </c>
      <c r="T201" s="186">
        <v>2</v>
      </c>
      <c r="U201" s="186">
        <v>3</v>
      </c>
      <c r="V201" s="186">
        <v>0</v>
      </c>
      <c r="W201" s="186">
        <v>2</v>
      </c>
      <c r="X201" s="186">
        <v>0</v>
      </c>
      <c r="Y201" s="185">
        <v>0</v>
      </c>
      <c r="Z201" s="195">
        <v>0</v>
      </c>
      <c r="AA201" s="195">
        <v>0</v>
      </c>
      <c r="AB201" s="160" t="s">
        <v>182</v>
      </c>
      <c r="AC201" s="128"/>
      <c r="AD201" s="129"/>
      <c r="AE201" s="129"/>
      <c r="AF201" s="129"/>
      <c r="AG201" s="129"/>
      <c r="AH201" s="129"/>
      <c r="AI201" s="129"/>
      <c r="AJ201" s="130"/>
      <c r="AK201" s="129"/>
    </row>
    <row r="202" spans="1:37" s="35" customFormat="1" ht="51.75" customHeight="1">
      <c r="A202" s="248"/>
      <c r="B202" s="185"/>
      <c r="C202" s="185"/>
      <c r="D202" s="185"/>
      <c r="E202" s="185"/>
      <c r="F202" s="185"/>
      <c r="G202" s="185"/>
      <c r="H202" s="185"/>
      <c r="I202" s="185"/>
      <c r="J202" s="185"/>
      <c r="K202" s="185"/>
      <c r="L202" s="185"/>
      <c r="M202" s="185"/>
      <c r="N202" s="185"/>
      <c r="O202" s="185"/>
      <c r="P202" s="195"/>
      <c r="Q202" s="195"/>
      <c r="R202" s="195"/>
      <c r="S202" s="186">
        <v>1</v>
      </c>
      <c r="T202" s="186">
        <v>2</v>
      </c>
      <c r="U202" s="186">
        <v>3</v>
      </c>
      <c r="V202" s="186">
        <v>0</v>
      </c>
      <c r="W202" s="186">
        <v>2</v>
      </c>
      <c r="X202" s="186">
        <v>0</v>
      </c>
      <c r="Y202" s="185">
        <v>0</v>
      </c>
      <c r="Z202" s="195">
        <v>0</v>
      </c>
      <c r="AA202" s="195">
        <v>1</v>
      </c>
      <c r="AB202" s="66" t="s">
        <v>200</v>
      </c>
      <c r="AC202" s="50" t="s">
        <v>94</v>
      </c>
      <c r="AD202" s="37">
        <v>100</v>
      </c>
      <c r="AE202" s="37">
        <v>100</v>
      </c>
      <c r="AF202" s="37">
        <v>100</v>
      </c>
      <c r="AG202" s="37">
        <v>100</v>
      </c>
      <c r="AH202" s="37">
        <v>100</v>
      </c>
      <c r="AI202" s="37">
        <v>100</v>
      </c>
      <c r="AJ202" s="58">
        <v>100</v>
      </c>
      <c r="AK202" s="37">
        <v>2027</v>
      </c>
    </row>
    <row r="203" spans="1:37" s="35" customFormat="1" ht="97.5" customHeight="1">
      <c r="A203" s="247"/>
      <c r="B203" s="195"/>
      <c r="C203" s="195"/>
      <c r="D203" s="195"/>
      <c r="E203" s="195"/>
      <c r="F203" s="195"/>
      <c r="G203" s="195"/>
      <c r="H203" s="195"/>
      <c r="I203" s="195"/>
      <c r="J203" s="195"/>
      <c r="K203" s="195"/>
      <c r="L203" s="195"/>
      <c r="M203" s="195"/>
      <c r="N203" s="195"/>
      <c r="O203" s="195"/>
      <c r="P203" s="195"/>
      <c r="Q203" s="195"/>
      <c r="R203" s="195"/>
      <c r="S203" s="186">
        <v>1</v>
      </c>
      <c r="T203" s="186">
        <v>2</v>
      </c>
      <c r="U203" s="186">
        <v>3</v>
      </c>
      <c r="V203" s="186">
        <v>0</v>
      </c>
      <c r="W203" s="186">
        <v>2</v>
      </c>
      <c r="X203" s="186">
        <v>0</v>
      </c>
      <c r="Y203" s="185">
        <v>1</v>
      </c>
      <c r="Z203" s="195">
        <v>0</v>
      </c>
      <c r="AA203" s="195">
        <v>0</v>
      </c>
      <c r="AB203" s="141" t="s">
        <v>50</v>
      </c>
      <c r="AC203" s="131" t="s">
        <v>93</v>
      </c>
      <c r="AD203" s="134"/>
      <c r="AE203" s="146"/>
      <c r="AF203" s="134"/>
      <c r="AG203" s="134"/>
      <c r="AH203" s="134"/>
      <c r="AI203" s="134"/>
      <c r="AJ203" s="147"/>
      <c r="AK203" s="134"/>
    </row>
    <row r="204" spans="1:37" s="35" customFormat="1" ht="74.25">
      <c r="A204" s="247"/>
      <c r="B204" s="195"/>
      <c r="C204" s="195"/>
      <c r="D204" s="195"/>
      <c r="E204" s="195"/>
      <c r="F204" s="195"/>
      <c r="G204" s="195"/>
      <c r="H204" s="195"/>
      <c r="I204" s="195"/>
      <c r="J204" s="195"/>
      <c r="K204" s="195"/>
      <c r="L204" s="195"/>
      <c r="M204" s="195"/>
      <c r="N204" s="195"/>
      <c r="O204" s="195"/>
      <c r="P204" s="195"/>
      <c r="Q204" s="195"/>
      <c r="R204" s="195"/>
      <c r="S204" s="186">
        <v>1</v>
      </c>
      <c r="T204" s="186">
        <v>2</v>
      </c>
      <c r="U204" s="186">
        <v>3</v>
      </c>
      <c r="V204" s="186">
        <v>0</v>
      </c>
      <c r="W204" s="186">
        <v>2</v>
      </c>
      <c r="X204" s="186">
        <v>0</v>
      </c>
      <c r="Y204" s="185">
        <v>1</v>
      </c>
      <c r="Z204" s="195">
        <v>0</v>
      </c>
      <c r="AA204" s="195">
        <v>1</v>
      </c>
      <c r="AB204" s="77" t="s">
        <v>51</v>
      </c>
      <c r="AC204" s="50" t="s">
        <v>95</v>
      </c>
      <c r="AD204" s="37">
        <v>2</v>
      </c>
      <c r="AE204" s="95">
        <v>2</v>
      </c>
      <c r="AF204" s="37">
        <v>2</v>
      </c>
      <c r="AG204" s="37">
        <v>2</v>
      </c>
      <c r="AH204" s="37">
        <v>2</v>
      </c>
      <c r="AI204" s="37">
        <v>2</v>
      </c>
      <c r="AJ204" s="58">
        <f>SUM(AD204:AI204)</f>
        <v>12</v>
      </c>
      <c r="AK204" s="37">
        <v>2027</v>
      </c>
    </row>
    <row r="205" spans="1:37" s="35" customFormat="1" ht="45" customHeight="1">
      <c r="A205" s="247"/>
      <c r="B205" s="195"/>
      <c r="C205" s="195"/>
      <c r="D205" s="195"/>
      <c r="E205" s="195"/>
      <c r="F205" s="195"/>
      <c r="G205" s="195"/>
      <c r="H205" s="195"/>
      <c r="I205" s="195"/>
      <c r="J205" s="195"/>
      <c r="K205" s="195"/>
      <c r="L205" s="195"/>
      <c r="M205" s="195"/>
      <c r="N205" s="195"/>
      <c r="O205" s="195"/>
      <c r="P205" s="195"/>
      <c r="Q205" s="195"/>
      <c r="R205" s="195"/>
      <c r="S205" s="186">
        <v>1</v>
      </c>
      <c r="T205" s="186">
        <v>2</v>
      </c>
      <c r="U205" s="186">
        <v>3</v>
      </c>
      <c r="V205" s="186">
        <v>0</v>
      </c>
      <c r="W205" s="186">
        <v>2</v>
      </c>
      <c r="X205" s="186">
        <v>0</v>
      </c>
      <c r="Y205" s="185">
        <v>2</v>
      </c>
      <c r="Z205" s="195">
        <v>0</v>
      </c>
      <c r="AA205" s="195">
        <v>0</v>
      </c>
      <c r="AB205" s="235" t="s">
        <v>52</v>
      </c>
      <c r="AC205" s="131" t="s">
        <v>93</v>
      </c>
      <c r="AD205" s="134"/>
      <c r="AE205" s="146"/>
      <c r="AF205" s="134"/>
      <c r="AG205" s="134"/>
      <c r="AH205" s="134"/>
      <c r="AI205" s="134"/>
      <c r="AJ205" s="147"/>
      <c r="AK205" s="134"/>
    </row>
    <row r="206" spans="1:37" s="35" customFormat="1" ht="30.75" customHeight="1">
      <c r="A206" s="247"/>
      <c r="B206" s="195"/>
      <c r="C206" s="195"/>
      <c r="D206" s="195"/>
      <c r="E206" s="195"/>
      <c r="F206" s="195"/>
      <c r="G206" s="195"/>
      <c r="H206" s="195"/>
      <c r="I206" s="195"/>
      <c r="J206" s="195"/>
      <c r="K206" s="195"/>
      <c r="L206" s="195"/>
      <c r="M206" s="195"/>
      <c r="N206" s="195"/>
      <c r="O206" s="195"/>
      <c r="P206" s="195"/>
      <c r="Q206" s="195"/>
      <c r="R206" s="195"/>
      <c r="S206" s="186"/>
      <c r="T206" s="186"/>
      <c r="U206" s="186"/>
      <c r="V206" s="186"/>
      <c r="W206" s="186"/>
      <c r="X206" s="186"/>
      <c r="Y206" s="185"/>
      <c r="Z206" s="195"/>
      <c r="AA206" s="195"/>
      <c r="AB206" s="236"/>
      <c r="AC206" s="131" t="s">
        <v>93</v>
      </c>
      <c r="AD206" s="134"/>
      <c r="AE206" s="146"/>
      <c r="AF206" s="134"/>
      <c r="AG206" s="134"/>
      <c r="AH206" s="134"/>
      <c r="AI206" s="134"/>
      <c r="AJ206" s="147"/>
      <c r="AK206" s="134"/>
    </row>
    <row r="207" spans="1:37" s="35" customFormat="1" ht="80.25" customHeight="1">
      <c r="A207" s="247"/>
      <c r="B207" s="195"/>
      <c r="C207" s="195"/>
      <c r="D207" s="195"/>
      <c r="E207" s="195"/>
      <c r="F207" s="195"/>
      <c r="G207" s="195"/>
      <c r="H207" s="195"/>
      <c r="I207" s="195"/>
      <c r="J207" s="195"/>
      <c r="K207" s="195"/>
      <c r="L207" s="195"/>
      <c r="M207" s="195"/>
      <c r="N207" s="195"/>
      <c r="O207" s="195"/>
      <c r="P207" s="195"/>
      <c r="Q207" s="195"/>
      <c r="R207" s="195"/>
      <c r="S207" s="186">
        <v>1</v>
      </c>
      <c r="T207" s="186">
        <v>2</v>
      </c>
      <c r="U207" s="186">
        <v>3</v>
      </c>
      <c r="V207" s="186">
        <v>0</v>
      </c>
      <c r="W207" s="186">
        <v>2</v>
      </c>
      <c r="X207" s="186">
        <v>0</v>
      </c>
      <c r="Y207" s="185">
        <v>2</v>
      </c>
      <c r="Z207" s="195">
        <v>0</v>
      </c>
      <c r="AA207" s="195">
        <v>1</v>
      </c>
      <c r="AB207" s="77" t="s">
        <v>201</v>
      </c>
      <c r="AC207" s="50" t="s">
        <v>95</v>
      </c>
      <c r="AD207" s="37">
        <v>11</v>
      </c>
      <c r="AE207" s="95">
        <v>11</v>
      </c>
      <c r="AF207" s="37">
        <v>11</v>
      </c>
      <c r="AG207" s="37">
        <v>11</v>
      </c>
      <c r="AH207" s="37">
        <v>11</v>
      </c>
      <c r="AI207" s="37">
        <v>11</v>
      </c>
      <c r="AJ207" s="58">
        <v>11</v>
      </c>
      <c r="AK207" s="49">
        <v>2027</v>
      </c>
    </row>
    <row r="208" spans="1:37" s="35" customFormat="1" ht="93.75" customHeight="1">
      <c r="A208" s="247"/>
      <c r="B208" s="195"/>
      <c r="C208" s="195"/>
      <c r="D208" s="195"/>
      <c r="E208" s="195"/>
      <c r="F208" s="195"/>
      <c r="G208" s="195"/>
      <c r="H208" s="195"/>
      <c r="I208" s="195"/>
      <c r="J208" s="195"/>
      <c r="K208" s="195"/>
      <c r="L208" s="195"/>
      <c r="M208" s="195"/>
      <c r="N208" s="195"/>
      <c r="O208" s="195"/>
      <c r="P208" s="195"/>
      <c r="Q208" s="195"/>
      <c r="R208" s="195"/>
      <c r="S208" s="186">
        <v>1</v>
      </c>
      <c r="T208" s="186">
        <v>2</v>
      </c>
      <c r="U208" s="186">
        <v>3</v>
      </c>
      <c r="V208" s="186">
        <v>0</v>
      </c>
      <c r="W208" s="186">
        <v>2</v>
      </c>
      <c r="X208" s="186">
        <v>0</v>
      </c>
      <c r="Y208" s="185">
        <v>3</v>
      </c>
      <c r="Z208" s="195">
        <v>0</v>
      </c>
      <c r="AA208" s="195">
        <v>0</v>
      </c>
      <c r="AB208" s="141" t="s">
        <v>53</v>
      </c>
      <c r="AC208" s="131" t="s">
        <v>93</v>
      </c>
      <c r="AD208" s="134"/>
      <c r="AE208" s="157"/>
      <c r="AF208" s="134"/>
      <c r="AG208" s="134"/>
      <c r="AH208" s="134"/>
      <c r="AI208" s="134"/>
      <c r="AJ208" s="147"/>
      <c r="AK208" s="134"/>
    </row>
    <row r="209" spans="1:37" s="35" customFormat="1" ht="74.25" customHeight="1">
      <c r="A209" s="247"/>
      <c r="B209" s="195"/>
      <c r="C209" s="195"/>
      <c r="D209" s="195"/>
      <c r="E209" s="195"/>
      <c r="F209" s="195"/>
      <c r="G209" s="195"/>
      <c r="H209" s="195"/>
      <c r="I209" s="195"/>
      <c r="J209" s="195"/>
      <c r="K209" s="195"/>
      <c r="L209" s="195"/>
      <c r="M209" s="195"/>
      <c r="N209" s="195"/>
      <c r="O209" s="195"/>
      <c r="P209" s="195"/>
      <c r="Q209" s="195"/>
      <c r="R209" s="195"/>
      <c r="S209" s="186">
        <v>1</v>
      </c>
      <c r="T209" s="186">
        <v>2</v>
      </c>
      <c r="U209" s="186">
        <v>3</v>
      </c>
      <c r="V209" s="186">
        <v>0</v>
      </c>
      <c r="W209" s="186">
        <v>2</v>
      </c>
      <c r="X209" s="186">
        <v>0</v>
      </c>
      <c r="Y209" s="185">
        <v>3</v>
      </c>
      <c r="Z209" s="195">
        <v>0</v>
      </c>
      <c r="AA209" s="195">
        <v>1</v>
      </c>
      <c r="AB209" s="77" t="s">
        <v>54</v>
      </c>
      <c r="AC209" s="50" t="s">
        <v>95</v>
      </c>
      <c r="AD209" s="37">
        <v>12</v>
      </c>
      <c r="AE209" s="97">
        <v>12</v>
      </c>
      <c r="AF209" s="37">
        <v>12</v>
      </c>
      <c r="AG209" s="37">
        <v>12</v>
      </c>
      <c r="AH209" s="37">
        <v>12</v>
      </c>
      <c r="AI209" s="37">
        <v>12</v>
      </c>
      <c r="AJ209" s="58">
        <f>SUM(AD209:AI209)</f>
        <v>72</v>
      </c>
      <c r="AK209" s="49">
        <v>2027</v>
      </c>
    </row>
    <row r="210" spans="1:37" s="35" customFormat="1" ht="64.5" customHeight="1">
      <c r="A210" s="247"/>
      <c r="B210" s="195"/>
      <c r="C210" s="195"/>
      <c r="D210" s="195"/>
      <c r="E210" s="195"/>
      <c r="F210" s="195"/>
      <c r="G210" s="195"/>
      <c r="H210" s="195"/>
      <c r="I210" s="195"/>
      <c r="J210" s="195"/>
      <c r="K210" s="195"/>
      <c r="L210" s="195"/>
      <c r="M210" s="195"/>
      <c r="N210" s="195"/>
      <c r="O210" s="195"/>
      <c r="P210" s="195"/>
      <c r="Q210" s="195"/>
      <c r="R210" s="195"/>
      <c r="S210" s="186">
        <v>1</v>
      </c>
      <c r="T210" s="186">
        <v>2</v>
      </c>
      <c r="U210" s="186">
        <v>3</v>
      </c>
      <c r="V210" s="186">
        <v>0</v>
      </c>
      <c r="W210" s="186">
        <v>3</v>
      </c>
      <c r="X210" s="186">
        <v>0</v>
      </c>
      <c r="Y210" s="185">
        <v>0</v>
      </c>
      <c r="Z210" s="195">
        <v>0</v>
      </c>
      <c r="AA210" s="195">
        <v>0</v>
      </c>
      <c r="AB210" s="127" t="s">
        <v>183</v>
      </c>
      <c r="AC210" s="161"/>
      <c r="AD210" s="129"/>
      <c r="AE210" s="129"/>
      <c r="AF210" s="129"/>
      <c r="AG210" s="129"/>
      <c r="AH210" s="129"/>
      <c r="AI210" s="129"/>
      <c r="AJ210" s="130"/>
      <c r="AK210" s="129"/>
    </row>
    <row r="211" spans="1:37" s="35" customFormat="1" ht="60">
      <c r="A211" s="247"/>
      <c r="B211" s="195"/>
      <c r="C211" s="195"/>
      <c r="D211" s="195"/>
      <c r="E211" s="195"/>
      <c r="F211" s="195"/>
      <c r="G211" s="195"/>
      <c r="H211" s="195"/>
      <c r="I211" s="195"/>
      <c r="J211" s="195"/>
      <c r="K211" s="195"/>
      <c r="L211" s="195"/>
      <c r="M211" s="195"/>
      <c r="N211" s="195"/>
      <c r="O211" s="195"/>
      <c r="P211" s="195"/>
      <c r="Q211" s="195"/>
      <c r="R211" s="195"/>
      <c r="S211" s="186">
        <v>1</v>
      </c>
      <c r="T211" s="186">
        <v>2</v>
      </c>
      <c r="U211" s="186">
        <v>3</v>
      </c>
      <c r="V211" s="186">
        <v>0</v>
      </c>
      <c r="W211" s="186">
        <v>3</v>
      </c>
      <c r="X211" s="186">
        <v>0</v>
      </c>
      <c r="Y211" s="185">
        <v>0</v>
      </c>
      <c r="Z211" s="195">
        <v>0</v>
      </c>
      <c r="AA211" s="195">
        <v>1</v>
      </c>
      <c r="AB211" s="77" t="s">
        <v>316</v>
      </c>
      <c r="AC211" s="50" t="s">
        <v>95</v>
      </c>
      <c r="AD211" s="37">
        <v>12</v>
      </c>
      <c r="AE211" s="97">
        <v>12</v>
      </c>
      <c r="AF211" s="37">
        <v>12</v>
      </c>
      <c r="AG211" s="37">
        <v>12</v>
      </c>
      <c r="AH211" s="37">
        <v>12</v>
      </c>
      <c r="AI211" s="37">
        <v>12</v>
      </c>
      <c r="AJ211" s="58">
        <v>12</v>
      </c>
      <c r="AK211" s="49">
        <v>2027</v>
      </c>
    </row>
    <row r="212" spans="1:37" s="35" customFormat="1" ht="32.25" customHeight="1">
      <c r="A212" s="247"/>
      <c r="B212" s="195"/>
      <c r="C212" s="195"/>
      <c r="D212" s="195"/>
      <c r="E212" s="195"/>
      <c r="F212" s="195"/>
      <c r="G212" s="195"/>
      <c r="H212" s="195"/>
      <c r="I212" s="195"/>
      <c r="J212" s="195"/>
      <c r="K212" s="195"/>
      <c r="L212" s="195"/>
      <c r="M212" s="195"/>
      <c r="N212" s="195"/>
      <c r="O212" s="195"/>
      <c r="P212" s="195"/>
      <c r="Q212" s="195"/>
      <c r="R212" s="195"/>
      <c r="S212" s="186">
        <v>1</v>
      </c>
      <c r="T212" s="186">
        <v>2</v>
      </c>
      <c r="U212" s="186">
        <v>3</v>
      </c>
      <c r="V212" s="186">
        <v>0</v>
      </c>
      <c r="W212" s="186">
        <v>3</v>
      </c>
      <c r="X212" s="186">
        <v>0</v>
      </c>
      <c r="Y212" s="185">
        <v>1</v>
      </c>
      <c r="Z212" s="195">
        <v>0</v>
      </c>
      <c r="AA212" s="195">
        <v>0</v>
      </c>
      <c r="AB212" s="237" t="s">
        <v>19</v>
      </c>
      <c r="AC212" s="131" t="s">
        <v>96</v>
      </c>
      <c r="AD212" s="134"/>
      <c r="AE212" s="134"/>
      <c r="AF212" s="146"/>
      <c r="AG212" s="134"/>
      <c r="AH212" s="134"/>
      <c r="AI212" s="134"/>
      <c r="AJ212" s="147"/>
      <c r="AK212" s="134"/>
    </row>
    <row r="213" spans="1:37" s="35" customFormat="1" ht="32.25" customHeight="1">
      <c r="A213" s="247"/>
      <c r="B213" s="195"/>
      <c r="C213" s="195"/>
      <c r="D213" s="195"/>
      <c r="E213" s="195"/>
      <c r="F213" s="195"/>
      <c r="G213" s="195"/>
      <c r="H213" s="195"/>
      <c r="I213" s="195"/>
      <c r="J213" s="195"/>
      <c r="K213" s="195"/>
      <c r="L213" s="195"/>
      <c r="M213" s="195"/>
      <c r="N213" s="195"/>
      <c r="O213" s="195"/>
      <c r="P213" s="195"/>
      <c r="Q213" s="195"/>
      <c r="R213" s="195"/>
      <c r="S213" s="186"/>
      <c r="T213" s="186"/>
      <c r="U213" s="186"/>
      <c r="V213" s="186"/>
      <c r="W213" s="186"/>
      <c r="X213" s="186"/>
      <c r="Y213" s="185"/>
      <c r="Z213" s="195"/>
      <c r="AA213" s="195"/>
      <c r="AB213" s="238"/>
      <c r="AC213" s="131" t="s">
        <v>96</v>
      </c>
      <c r="AD213" s="146"/>
      <c r="AE213" s="146"/>
      <c r="AF213" s="146"/>
      <c r="AG213" s="146"/>
      <c r="AH213" s="146"/>
      <c r="AI213" s="146"/>
      <c r="AJ213" s="147"/>
      <c r="AK213" s="136"/>
    </row>
    <row r="214" spans="1:37" s="35" customFormat="1" ht="59.25">
      <c r="A214" s="247"/>
      <c r="B214" s="195"/>
      <c r="C214" s="195"/>
      <c r="D214" s="195"/>
      <c r="E214" s="195"/>
      <c r="F214" s="195"/>
      <c r="G214" s="195"/>
      <c r="H214" s="195"/>
      <c r="I214" s="195"/>
      <c r="J214" s="195"/>
      <c r="K214" s="195"/>
      <c r="L214" s="195"/>
      <c r="M214" s="195"/>
      <c r="N214" s="195"/>
      <c r="O214" s="195"/>
      <c r="P214" s="195"/>
      <c r="Q214" s="195"/>
      <c r="R214" s="195"/>
      <c r="S214" s="186">
        <v>1</v>
      </c>
      <c r="T214" s="186">
        <v>2</v>
      </c>
      <c r="U214" s="186">
        <v>3</v>
      </c>
      <c r="V214" s="186">
        <v>0</v>
      </c>
      <c r="W214" s="186">
        <v>3</v>
      </c>
      <c r="X214" s="186">
        <v>0</v>
      </c>
      <c r="Y214" s="185">
        <v>1</v>
      </c>
      <c r="Z214" s="195">
        <v>0</v>
      </c>
      <c r="AA214" s="195">
        <v>1</v>
      </c>
      <c r="AB214" s="77" t="s">
        <v>282</v>
      </c>
      <c r="AC214" s="50" t="s">
        <v>95</v>
      </c>
      <c r="AD214" s="37">
        <v>8</v>
      </c>
      <c r="AE214" s="95">
        <v>8</v>
      </c>
      <c r="AF214" s="37">
        <v>8</v>
      </c>
      <c r="AG214" s="37">
        <v>8</v>
      </c>
      <c r="AH214" s="37">
        <v>8</v>
      </c>
      <c r="AI214" s="37">
        <v>8</v>
      </c>
      <c r="AJ214" s="58">
        <v>8</v>
      </c>
      <c r="AK214" s="37">
        <v>2027</v>
      </c>
    </row>
    <row r="215" spans="1:37" s="35" customFormat="1" ht="30" customHeight="1">
      <c r="A215" s="247"/>
      <c r="B215" s="195"/>
      <c r="C215" s="195"/>
      <c r="D215" s="195"/>
      <c r="E215" s="195"/>
      <c r="F215" s="195"/>
      <c r="G215" s="195"/>
      <c r="H215" s="195"/>
      <c r="I215" s="195"/>
      <c r="J215" s="195"/>
      <c r="K215" s="195"/>
      <c r="L215" s="195"/>
      <c r="M215" s="195"/>
      <c r="N215" s="195"/>
      <c r="O215" s="195"/>
      <c r="P215" s="195"/>
      <c r="Q215" s="195"/>
      <c r="R215" s="195"/>
      <c r="S215" s="186">
        <v>1</v>
      </c>
      <c r="T215" s="186">
        <v>2</v>
      </c>
      <c r="U215" s="186">
        <v>3</v>
      </c>
      <c r="V215" s="186">
        <v>0</v>
      </c>
      <c r="W215" s="186">
        <v>3</v>
      </c>
      <c r="X215" s="186">
        <v>0</v>
      </c>
      <c r="Y215" s="185">
        <v>2</v>
      </c>
      <c r="Z215" s="195">
        <v>0</v>
      </c>
      <c r="AA215" s="195">
        <v>0</v>
      </c>
      <c r="AB215" s="237" t="s">
        <v>20</v>
      </c>
      <c r="AC215" s="131" t="s">
        <v>96</v>
      </c>
      <c r="AD215" s="146"/>
      <c r="AE215" s="157"/>
      <c r="AF215" s="146"/>
      <c r="AG215" s="146"/>
      <c r="AH215" s="146"/>
      <c r="AI215" s="146"/>
      <c r="AJ215" s="147"/>
      <c r="AK215" s="134"/>
    </row>
    <row r="216" spans="1:37" s="35" customFormat="1" ht="34.5" customHeight="1">
      <c r="A216" s="247"/>
      <c r="B216" s="195"/>
      <c r="C216" s="195"/>
      <c r="D216" s="195"/>
      <c r="E216" s="195"/>
      <c r="F216" s="195"/>
      <c r="G216" s="195"/>
      <c r="H216" s="195"/>
      <c r="I216" s="195"/>
      <c r="J216" s="195"/>
      <c r="K216" s="195"/>
      <c r="L216" s="195"/>
      <c r="M216" s="195"/>
      <c r="N216" s="195"/>
      <c r="O216" s="195"/>
      <c r="P216" s="195"/>
      <c r="Q216" s="195"/>
      <c r="R216" s="195"/>
      <c r="S216" s="186"/>
      <c r="T216" s="186"/>
      <c r="U216" s="186"/>
      <c r="V216" s="186"/>
      <c r="W216" s="186"/>
      <c r="X216" s="186"/>
      <c r="Y216" s="185"/>
      <c r="Z216" s="195"/>
      <c r="AA216" s="195"/>
      <c r="AB216" s="238"/>
      <c r="AC216" s="131" t="s">
        <v>96</v>
      </c>
      <c r="AD216" s="146"/>
      <c r="AE216" s="146"/>
      <c r="AF216" s="146"/>
      <c r="AG216" s="146"/>
      <c r="AH216" s="146"/>
      <c r="AI216" s="146"/>
      <c r="AJ216" s="147"/>
      <c r="AK216" s="134"/>
    </row>
    <row r="217" spans="1:37" s="35" customFormat="1" ht="74.25">
      <c r="A217" s="247"/>
      <c r="B217" s="195"/>
      <c r="C217" s="195"/>
      <c r="D217" s="195"/>
      <c r="E217" s="195"/>
      <c r="F217" s="195"/>
      <c r="G217" s="195"/>
      <c r="H217" s="195"/>
      <c r="I217" s="195"/>
      <c r="J217" s="195"/>
      <c r="K217" s="195"/>
      <c r="L217" s="195"/>
      <c r="M217" s="195"/>
      <c r="N217" s="195"/>
      <c r="O217" s="195"/>
      <c r="P217" s="195"/>
      <c r="Q217" s="195"/>
      <c r="R217" s="195"/>
      <c r="S217" s="186">
        <v>1</v>
      </c>
      <c r="T217" s="186">
        <v>2</v>
      </c>
      <c r="U217" s="186">
        <v>3</v>
      </c>
      <c r="V217" s="186">
        <v>0</v>
      </c>
      <c r="W217" s="186">
        <v>3</v>
      </c>
      <c r="X217" s="186">
        <v>0</v>
      </c>
      <c r="Y217" s="185">
        <v>2</v>
      </c>
      <c r="Z217" s="195">
        <v>0</v>
      </c>
      <c r="AA217" s="195">
        <v>1</v>
      </c>
      <c r="AB217" s="77" t="s">
        <v>152</v>
      </c>
      <c r="AC217" s="50" t="s">
        <v>95</v>
      </c>
      <c r="AD217" s="37">
        <v>12</v>
      </c>
      <c r="AE217" s="95">
        <v>12</v>
      </c>
      <c r="AF217" s="37">
        <v>12</v>
      </c>
      <c r="AG217" s="37">
        <v>12</v>
      </c>
      <c r="AH217" s="37">
        <v>12</v>
      </c>
      <c r="AI217" s="37">
        <v>12</v>
      </c>
      <c r="AJ217" s="58">
        <v>12</v>
      </c>
      <c r="AK217" s="49">
        <v>2027</v>
      </c>
    </row>
    <row r="218" spans="1:37" s="35" customFormat="1" ht="55.5" customHeight="1">
      <c r="A218" s="247"/>
      <c r="B218" s="195"/>
      <c r="C218" s="195"/>
      <c r="D218" s="195"/>
      <c r="E218" s="195"/>
      <c r="F218" s="195"/>
      <c r="G218" s="195"/>
      <c r="H218" s="195"/>
      <c r="I218" s="195"/>
      <c r="J218" s="195"/>
      <c r="K218" s="195"/>
      <c r="L218" s="195"/>
      <c r="M218" s="195"/>
      <c r="N218" s="195"/>
      <c r="O218" s="195"/>
      <c r="P218" s="195"/>
      <c r="Q218" s="195"/>
      <c r="R218" s="195"/>
      <c r="S218" s="186">
        <v>1</v>
      </c>
      <c r="T218" s="186">
        <v>2</v>
      </c>
      <c r="U218" s="186">
        <v>3</v>
      </c>
      <c r="V218" s="186">
        <v>0</v>
      </c>
      <c r="W218" s="186">
        <v>4</v>
      </c>
      <c r="X218" s="186">
        <v>0</v>
      </c>
      <c r="Y218" s="185">
        <v>0</v>
      </c>
      <c r="Z218" s="195">
        <v>0</v>
      </c>
      <c r="AA218" s="195">
        <v>0</v>
      </c>
      <c r="AB218" s="127" t="s">
        <v>184</v>
      </c>
      <c r="AC218" s="161"/>
      <c r="AD218" s="129"/>
      <c r="AE218" s="163"/>
      <c r="AF218" s="129"/>
      <c r="AG218" s="129"/>
      <c r="AH218" s="129"/>
      <c r="AI218" s="129"/>
      <c r="AJ218" s="130"/>
      <c r="AK218" s="129"/>
    </row>
    <row r="219" spans="1:37" s="35" customFormat="1" ht="60.75" customHeight="1">
      <c r="A219" s="247"/>
      <c r="B219" s="195"/>
      <c r="C219" s="195"/>
      <c r="D219" s="195"/>
      <c r="E219" s="195"/>
      <c r="F219" s="195"/>
      <c r="G219" s="195"/>
      <c r="H219" s="195"/>
      <c r="I219" s="195"/>
      <c r="J219" s="195"/>
      <c r="K219" s="195"/>
      <c r="L219" s="195"/>
      <c r="M219" s="195"/>
      <c r="N219" s="195"/>
      <c r="O219" s="195"/>
      <c r="P219" s="195"/>
      <c r="Q219" s="195"/>
      <c r="R219" s="195"/>
      <c r="S219" s="186">
        <v>1</v>
      </c>
      <c r="T219" s="186">
        <v>2</v>
      </c>
      <c r="U219" s="186">
        <v>3</v>
      </c>
      <c r="V219" s="186">
        <v>0</v>
      </c>
      <c r="W219" s="186">
        <v>4</v>
      </c>
      <c r="X219" s="186">
        <v>0</v>
      </c>
      <c r="Y219" s="185">
        <v>0</v>
      </c>
      <c r="Z219" s="195">
        <v>0</v>
      </c>
      <c r="AA219" s="195">
        <v>1</v>
      </c>
      <c r="AB219" s="77" t="s">
        <v>317</v>
      </c>
      <c r="AC219" s="50" t="s">
        <v>95</v>
      </c>
      <c r="AD219" s="37">
        <v>12</v>
      </c>
      <c r="AE219" s="97">
        <v>12</v>
      </c>
      <c r="AF219" s="37">
        <v>12</v>
      </c>
      <c r="AG219" s="37">
        <v>12</v>
      </c>
      <c r="AH219" s="37">
        <v>12</v>
      </c>
      <c r="AI219" s="37">
        <v>12</v>
      </c>
      <c r="AJ219" s="58">
        <v>12</v>
      </c>
      <c r="AK219" s="49">
        <v>2027</v>
      </c>
    </row>
    <row r="220" spans="1:37" s="35" customFormat="1" ht="62.25" customHeight="1">
      <c r="A220" s="247"/>
      <c r="B220" s="195"/>
      <c r="C220" s="195"/>
      <c r="D220" s="195"/>
      <c r="E220" s="195"/>
      <c r="F220" s="195"/>
      <c r="G220" s="195"/>
      <c r="H220" s="195"/>
      <c r="I220" s="195"/>
      <c r="J220" s="195"/>
      <c r="K220" s="195"/>
      <c r="L220" s="195"/>
      <c r="M220" s="195"/>
      <c r="N220" s="195"/>
      <c r="O220" s="195"/>
      <c r="P220" s="195"/>
      <c r="Q220" s="195"/>
      <c r="R220" s="195"/>
      <c r="S220" s="186">
        <v>1</v>
      </c>
      <c r="T220" s="186">
        <v>2</v>
      </c>
      <c r="U220" s="186">
        <v>3</v>
      </c>
      <c r="V220" s="186">
        <v>0</v>
      </c>
      <c r="W220" s="186">
        <v>4</v>
      </c>
      <c r="X220" s="186">
        <v>0</v>
      </c>
      <c r="Y220" s="185">
        <v>1</v>
      </c>
      <c r="Z220" s="195">
        <v>0</v>
      </c>
      <c r="AA220" s="195">
        <v>0</v>
      </c>
      <c r="AB220" s="141" t="s">
        <v>21</v>
      </c>
      <c r="AC220" s="131" t="s">
        <v>96</v>
      </c>
      <c r="AD220" s="134"/>
      <c r="AE220" s="157"/>
      <c r="AF220" s="134"/>
      <c r="AG220" s="134"/>
      <c r="AH220" s="134"/>
      <c r="AI220" s="134"/>
      <c r="AJ220" s="147"/>
      <c r="AK220" s="134"/>
    </row>
    <row r="221" spans="1:37" s="35" customFormat="1" ht="75.75" customHeight="1">
      <c r="A221" s="247"/>
      <c r="B221" s="195"/>
      <c r="C221" s="195"/>
      <c r="D221" s="195"/>
      <c r="E221" s="195"/>
      <c r="F221" s="195"/>
      <c r="G221" s="195"/>
      <c r="H221" s="195"/>
      <c r="I221" s="195"/>
      <c r="J221" s="195"/>
      <c r="K221" s="195"/>
      <c r="L221" s="195"/>
      <c r="M221" s="195"/>
      <c r="N221" s="195"/>
      <c r="O221" s="195"/>
      <c r="P221" s="195"/>
      <c r="Q221" s="195"/>
      <c r="R221" s="195"/>
      <c r="S221" s="186">
        <v>1</v>
      </c>
      <c r="T221" s="186">
        <v>2</v>
      </c>
      <c r="U221" s="186">
        <v>3</v>
      </c>
      <c r="V221" s="186">
        <v>0</v>
      </c>
      <c r="W221" s="186">
        <v>4</v>
      </c>
      <c r="X221" s="186">
        <v>0</v>
      </c>
      <c r="Y221" s="185">
        <v>1</v>
      </c>
      <c r="Z221" s="195">
        <v>0</v>
      </c>
      <c r="AA221" s="195">
        <v>1</v>
      </c>
      <c r="AB221" s="77" t="s">
        <v>22</v>
      </c>
      <c r="AC221" s="50" t="s">
        <v>95</v>
      </c>
      <c r="AD221" s="37">
        <v>12</v>
      </c>
      <c r="AE221" s="95">
        <v>12</v>
      </c>
      <c r="AF221" s="37">
        <v>12</v>
      </c>
      <c r="AG221" s="37">
        <v>12</v>
      </c>
      <c r="AH221" s="37">
        <v>12</v>
      </c>
      <c r="AI221" s="37">
        <v>12</v>
      </c>
      <c r="AJ221" s="58">
        <v>12</v>
      </c>
      <c r="AK221" s="37">
        <v>2027</v>
      </c>
    </row>
    <row r="222" spans="1:37" s="35" customFormat="1" ht="60">
      <c r="A222" s="247"/>
      <c r="B222" s="195"/>
      <c r="C222" s="195"/>
      <c r="D222" s="195"/>
      <c r="E222" s="195"/>
      <c r="F222" s="195"/>
      <c r="G222" s="195"/>
      <c r="H222" s="195"/>
      <c r="I222" s="195"/>
      <c r="J222" s="195"/>
      <c r="K222" s="195"/>
      <c r="L222" s="195"/>
      <c r="M222" s="195"/>
      <c r="N222" s="195"/>
      <c r="O222" s="195"/>
      <c r="P222" s="195"/>
      <c r="Q222" s="195"/>
      <c r="R222" s="195"/>
      <c r="S222" s="186">
        <v>1</v>
      </c>
      <c r="T222" s="186">
        <v>2</v>
      </c>
      <c r="U222" s="186">
        <v>3</v>
      </c>
      <c r="V222" s="186">
        <v>0</v>
      </c>
      <c r="W222" s="186">
        <v>4</v>
      </c>
      <c r="X222" s="186">
        <v>0</v>
      </c>
      <c r="Y222" s="185">
        <v>2</v>
      </c>
      <c r="Z222" s="195">
        <v>0</v>
      </c>
      <c r="AA222" s="195">
        <v>0</v>
      </c>
      <c r="AB222" s="141" t="s">
        <v>23</v>
      </c>
      <c r="AC222" s="131" t="s">
        <v>96</v>
      </c>
      <c r="AD222" s="134"/>
      <c r="AE222" s="157"/>
      <c r="AF222" s="134"/>
      <c r="AG222" s="134"/>
      <c r="AH222" s="134"/>
      <c r="AI222" s="134"/>
      <c r="AJ222" s="147"/>
      <c r="AK222" s="134"/>
    </row>
    <row r="223" spans="1:37" s="35" customFormat="1" ht="72" customHeight="1">
      <c r="A223" s="247"/>
      <c r="B223" s="195"/>
      <c r="C223" s="195"/>
      <c r="D223" s="195"/>
      <c r="E223" s="195"/>
      <c r="F223" s="195"/>
      <c r="G223" s="195"/>
      <c r="H223" s="195"/>
      <c r="I223" s="195"/>
      <c r="J223" s="195"/>
      <c r="K223" s="195"/>
      <c r="L223" s="195"/>
      <c r="M223" s="195"/>
      <c r="N223" s="195"/>
      <c r="O223" s="195"/>
      <c r="P223" s="195"/>
      <c r="Q223" s="195"/>
      <c r="R223" s="195"/>
      <c r="S223" s="186">
        <v>1</v>
      </c>
      <c r="T223" s="186">
        <v>2</v>
      </c>
      <c r="U223" s="186">
        <v>3</v>
      </c>
      <c r="V223" s="186">
        <v>0</v>
      </c>
      <c r="W223" s="186">
        <v>4</v>
      </c>
      <c r="X223" s="186">
        <v>0</v>
      </c>
      <c r="Y223" s="185">
        <v>2</v>
      </c>
      <c r="Z223" s="195">
        <v>0</v>
      </c>
      <c r="AA223" s="195">
        <v>1</v>
      </c>
      <c r="AB223" s="77" t="s">
        <v>153</v>
      </c>
      <c r="AC223" s="50" t="s">
        <v>95</v>
      </c>
      <c r="AD223" s="37">
        <v>8</v>
      </c>
      <c r="AE223" s="37">
        <v>8</v>
      </c>
      <c r="AF223" s="37">
        <v>8</v>
      </c>
      <c r="AG223" s="37">
        <v>8</v>
      </c>
      <c r="AH223" s="37">
        <v>8</v>
      </c>
      <c r="AI223" s="37">
        <v>8</v>
      </c>
      <c r="AJ223" s="58">
        <v>8</v>
      </c>
      <c r="AK223" s="37">
        <v>2027</v>
      </c>
    </row>
    <row r="224" spans="1:37" s="35" customFormat="1" ht="45">
      <c r="A224" s="247"/>
      <c r="B224" s="195"/>
      <c r="C224" s="195"/>
      <c r="D224" s="195"/>
      <c r="E224" s="195"/>
      <c r="F224" s="195"/>
      <c r="G224" s="195"/>
      <c r="H224" s="195"/>
      <c r="I224" s="195"/>
      <c r="J224" s="195"/>
      <c r="K224" s="195"/>
      <c r="L224" s="195"/>
      <c r="M224" s="195"/>
      <c r="N224" s="195"/>
      <c r="O224" s="195"/>
      <c r="P224" s="195"/>
      <c r="Q224" s="195"/>
      <c r="R224" s="195"/>
      <c r="S224" s="195">
        <v>1</v>
      </c>
      <c r="T224" s="195">
        <v>2</v>
      </c>
      <c r="U224" s="195">
        <v>4</v>
      </c>
      <c r="V224" s="195">
        <v>0</v>
      </c>
      <c r="W224" s="195">
        <v>0</v>
      </c>
      <c r="X224" s="195">
        <v>0</v>
      </c>
      <c r="Y224" s="185">
        <v>0</v>
      </c>
      <c r="Z224" s="195">
        <v>0</v>
      </c>
      <c r="AA224" s="195">
        <v>0</v>
      </c>
      <c r="AB224" s="85" t="s">
        <v>185</v>
      </c>
      <c r="AC224" s="73" t="s">
        <v>96</v>
      </c>
      <c r="AD224" s="126">
        <f>AD225</f>
        <v>5645113</v>
      </c>
      <c r="AE224" s="126">
        <f aca="true" t="shared" si="11" ref="AE224:AJ224">AE225</f>
        <v>5928830.720000001</v>
      </c>
      <c r="AF224" s="126">
        <f t="shared" si="11"/>
        <v>6665866.98</v>
      </c>
      <c r="AG224" s="126">
        <f t="shared" si="11"/>
        <v>6535866.98</v>
      </c>
      <c r="AH224" s="126">
        <f t="shared" si="11"/>
        <v>6535866.98</v>
      </c>
      <c r="AI224" s="126">
        <f t="shared" si="11"/>
        <v>5662403.71</v>
      </c>
      <c r="AJ224" s="126">
        <f t="shared" si="11"/>
        <v>36973948.370000005</v>
      </c>
      <c r="AK224" s="96">
        <v>2027</v>
      </c>
    </row>
    <row r="225" spans="1:37" s="35" customFormat="1" ht="30">
      <c r="A225" s="247"/>
      <c r="B225" s="195"/>
      <c r="C225" s="195"/>
      <c r="D225" s="195"/>
      <c r="E225" s="195"/>
      <c r="F225" s="195"/>
      <c r="G225" s="195"/>
      <c r="H225" s="195"/>
      <c r="I225" s="195"/>
      <c r="J225" s="195"/>
      <c r="K225" s="195"/>
      <c r="L225" s="195"/>
      <c r="M225" s="195"/>
      <c r="N225" s="195"/>
      <c r="O225" s="195"/>
      <c r="P225" s="195"/>
      <c r="Q225" s="195"/>
      <c r="R225" s="195"/>
      <c r="S225" s="195"/>
      <c r="T225" s="195"/>
      <c r="U225" s="195"/>
      <c r="V225" s="195"/>
      <c r="W225" s="195"/>
      <c r="X225" s="195"/>
      <c r="Y225" s="185"/>
      <c r="Z225" s="195"/>
      <c r="AA225" s="195"/>
      <c r="AB225" s="78" t="s">
        <v>174</v>
      </c>
      <c r="AC225" s="73"/>
      <c r="AD225" s="126">
        <f>AD228+AD230+AD233+AD235+AD238+AD249</f>
        <v>5645113</v>
      </c>
      <c r="AE225" s="126">
        <f>AE228+AE230+AE233+AE235+AE238+AE249</f>
        <v>5928830.720000001</v>
      </c>
      <c r="AF225" s="126">
        <f>AF228+AF230+AF233+AF235+AF238+AF249+AF243</f>
        <v>6665866.98</v>
      </c>
      <c r="AG225" s="126">
        <f>AG228+AG230+AG233+AG235+AG238+AG249</f>
        <v>6535866.98</v>
      </c>
      <c r="AH225" s="126">
        <f>AH228+AH230+AH233+AH235+AH238+AH249</f>
        <v>6535866.98</v>
      </c>
      <c r="AI225" s="126">
        <f>AI228+AI230+AI233+AI235+AI238+AI249</f>
        <v>5662403.71</v>
      </c>
      <c r="AJ225" s="126">
        <f>SUM(AD225:AI225)</f>
        <v>36973948.370000005</v>
      </c>
      <c r="AK225" s="96">
        <v>2027</v>
      </c>
    </row>
    <row r="226" spans="1:37" s="35" customFormat="1" ht="60">
      <c r="A226" s="247"/>
      <c r="B226" s="195"/>
      <c r="C226" s="195"/>
      <c r="D226" s="195"/>
      <c r="E226" s="195"/>
      <c r="F226" s="195"/>
      <c r="G226" s="195"/>
      <c r="H226" s="195"/>
      <c r="I226" s="195"/>
      <c r="J226" s="195"/>
      <c r="K226" s="195"/>
      <c r="L226" s="195"/>
      <c r="M226" s="195"/>
      <c r="N226" s="195"/>
      <c r="O226" s="195"/>
      <c r="P226" s="195"/>
      <c r="Q226" s="195"/>
      <c r="R226" s="195"/>
      <c r="S226" s="195">
        <v>1</v>
      </c>
      <c r="T226" s="195">
        <v>2</v>
      </c>
      <c r="U226" s="195">
        <v>4</v>
      </c>
      <c r="V226" s="195">
        <v>0</v>
      </c>
      <c r="W226" s="195">
        <v>1</v>
      </c>
      <c r="X226" s="195">
        <v>0</v>
      </c>
      <c r="Y226" s="185">
        <v>0</v>
      </c>
      <c r="Z226" s="195">
        <v>0</v>
      </c>
      <c r="AA226" s="195">
        <v>0</v>
      </c>
      <c r="AB226" s="127" t="s">
        <v>85</v>
      </c>
      <c r="AC226" s="144"/>
      <c r="AD226" s="213">
        <f aca="true" t="shared" si="12" ref="AD226:AI226">AD228+AD230+AD233+AD235+AD238</f>
        <v>5330217.04</v>
      </c>
      <c r="AE226" s="213">
        <f t="shared" si="12"/>
        <v>5688920.720000001</v>
      </c>
      <c r="AF226" s="213">
        <f>AF228+AF230+AF233+AF235+AF238+AF243</f>
        <v>6325534.98</v>
      </c>
      <c r="AG226" s="213">
        <f t="shared" si="12"/>
        <v>6195534.98</v>
      </c>
      <c r="AH226" s="213">
        <f t="shared" si="12"/>
        <v>6195534.98</v>
      </c>
      <c r="AI226" s="213">
        <f t="shared" si="12"/>
        <v>5319641.71</v>
      </c>
      <c r="AJ226" s="213">
        <f>SUM(AD226:AI226)</f>
        <v>35055384.410000004</v>
      </c>
      <c r="AK226" s="129">
        <v>2027</v>
      </c>
    </row>
    <row r="227" spans="1:37" s="35" customFormat="1" ht="73.5" customHeight="1">
      <c r="A227" s="247"/>
      <c r="B227" s="195"/>
      <c r="C227" s="195"/>
      <c r="D227" s="195"/>
      <c r="E227" s="195"/>
      <c r="F227" s="195"/>
      <c r="G227" s="195"/>
      <c r="H227" s="195"/>
      <c r="I227" s="195"/>
      <c r="J227" s="195"/>
      <c r="K227" s="195"/>
      <c r="L227" s="195"/>
      <c r="M227" s="195"/>
      <c r="N227" s="195"/>
      <c r="O227" s="195"/>
      <c r="P227" s="195"/>
      <c r="Q227" s="195"/>
      <c r="R227" s="195"/>
      <c r="S227" s="195">
        <v>1</v>
      </c>
      <c r="T227" s="195">
        <v>2</v>
      </c>
      <c r="U227" s="195">
        <v>4</v>
      </c>
      <c r="V227" s="195">
        <v>0</v>
      </c>
      <c r="W227" s="195">
        <v>1</v>
      </c>
      <c r="X227" s="195">
        <v>0</v>
      </c>
      <c r="Y227" s="185">
        <v>0</v>
      </c>
      <c r="Z227" s="195">
        <v>0</v>
      </c>
      <c r="AA227" s="195">
        <v>1</v>
      </c>
      <c r="AB227" s="77" t="s">
        <v>186</v>
      </c>
      <c r="AC227" s="50" t="s">
        <v>94</v>
      </c>
      <c r="AD227" s="97">
        <v>100</v>
      </c>
      <c r="AE227" s="97">
        <v>100</v>
      </c>
      <c r="AF227" s="97">
        <v>100</v>
      </c>
      <c r="AG227" s="97">
        <v>100</v>
      </c>
      <c r="AH227" s="97">
        <v>100</v>
      </c>
      <c r="AI227" s="97">
        <v>100</v>
      </c>
      <c r="AJ227" s="58">
        <v>100</v>
      </c>
      <c r="AK227" s="49">
        <v>2027</v>
      </c>
    </row>
    <row r="228" spans="1:37" s="35" customFormat="1" ht="60">
      <c r="A228" s="247"/>
      <c r="B228" s="195">
        <v>0</v>
      </c>
      <c r="C228" s="195">
        <v>2</v>
      </c>
      <c r="D228" s="195">
        <v>9</v>
      </c>
      <c r="E228" s="195">
        <v>0</v>
      </c>
      <c r="F228" s="195">
        <v>7</v>
      </c>
      <c r="G228" s="195">
        <v>0</v>
      </c>
      <c r="H228" s="195">
        <v>9</v>
      </c>
      <c r="I228" s="195">
        <v>1</v>
      </c>
      <c r="J228" s="195">
        <v>2</v>
      </c>
      <c r="K228" s="195">
        <v>4</v>
      </c>
      <c r="L228" s="195">
        <v>0</v>
      </c>
      <c r="M228" s="195">
        <v>1</v>
      </c>
      <c r="N228" s="195">
        <v>2</v>
      </c>
      <c r="O228" s="195">
        <v>0</v>
      </c>
      <c r="P228" s="195">
        <v>0</v>
      </c>
      <c r="Q228" s="195">
        <v>2</v>
      </c>
      <c r="R228" s="195" t="s">
        <v>74</v>
      </c>
      <c r="S228" s="195">
        <v>1</v>
      </c>
      <c r="T228" s="195">
        <v>2</v>
      </c>
      <c r="U228" s="195">
        <v>4</v>
      </c>
      <c r="V228" s="195">
        <v>0</v>
      </c>
      <c r="W228" s="195">
        <v>1</v>
      </c>
      <c r="X228" s="195">
        <v>0</v>
      </c>
      <c r="Y228" s="185">
        <v>1</v>
      </c>
      <c r="Z228" s="195">
        <v>0</v>
      </c>
      <c r="AA228" s="195">
        <v>0</v>
      </c>
      <c r="AB228" s="141" t="s">
        <v>253</v>
      </c>
      <c r="AC228" s="131" t="s">
        <v>96</v>
      </c>
      <c r="AD228" s="137">
        <v>211520</v>
      </c>
      <c r="AE228" s="137">
        <v>200000</v>
      </c>
      <c r="AF228" s="137">
        <f>200000+130000</f>
        <v>330000</v>
      </c>
      <c r="AG228" s="137">
        <v>200000</v>
      </c>
      <c r="AH228" s="137">
        <v>200000</v>
      </c>
      <c r="AI228" s="137">
        <v>200000</v>
      </c>
      <c r="AJ228" s="138">
        <f>SUM(AD228:AI228)</f>
        <v>1341520</v>
      </c>
      <c r="AK228" s="134">
        <v>2027</v>
      </c>
    </row>
    <row r="229" spans="1:37" s="35" customFormat="1" ht="62.25" customHeight="1">
      <c r="A229" s="247"/>
      <c r="B229" s="195"/>
      <c r="C229" s="195"/>
      <c r="D229" s="195"/>
      <c r="E229" s="195"/>
      <c r="F229" s="195"/>
      <c r="G229" s="195"/>
      <c r="H229" s="195"/>
      <c r="I229" s="195"/>
      <c r="J229" s="195"/>
      <c r="K229" s="195"/>
      <c r="L229" s="195"/>
      <c r="M229" s="195"/>
      <c r="N229" s="195"/>
      <c r="O229" s="195"/>
      <c r="P229" s="195"/>
      <c r="Q229" s="195"/>
      <c r="R229" s="195"/>
      <c r="S229" s="195">
        <v>1</v>
      </c>
      <c r="T229" s="195">
        <v>2</v>
      </c>
      <c r="U229" s="195">
        <v>4</v>
      </c>
      <c r="V229" s="195">
        <v>0</v>
      </c>
      <c r="W229" s="195">
        <v>1</v>
      </c>
      <c r="X229" s="195">
        <v>0</v>
      </c>
      <c r="Y229" s="185">
        <v>1</v>
      </c>
      <c r="Z229" s="195">
        <v>0</v>
      </c>
      <c r="AA229" s="195">
        <v>1</v>
      </c>
      <c r="AB229" s="80" t="s">
        <v>278</v>
      </c>
      <c r="AC229" s="50" t="s">
        <v>33</v>
      </c>
      <c r="AD229" s="97">
        <v>1</v>
      </c>
      <c r="AE229" s="95">
        <v>1</v>
      </c>
      <c r="AF229" s="97">
        <v>1</v>
      </c>
      <c r="AG229" s="97">
        <v>1</v>
      </c>
      <c r="AH229" s="97">
        <v>1</v>
      </c>
      <c r="AI229" s="97">
        <v>1</v>
      </c>
      <c r="AJ229" s="122">
        <f>SUM(AD229:AI229)</f>
        <v>6</v>
      </c>
      <c r="AK229" s="97">
        <v>2027</v>
      </c>
    </row>
    <row r="230" spans="1:37" s="35" customFormat="1" ht="61.5" customHeight="1">
      <c r="A230" s="247"/>
      <c r="B230" s="195">
        <v>0</v>
      </c>
      <c r="C230" s="195">
        <v>2</v>
      </c>
      <c r="D230" s="195">
        <v>9</v>
      </c>
      <c r="E230" s="195">
        <v>0</v>
      </c>
      <c r="F230" s="195">
        <v>7</v>
      </c>
      <c r="G230" s="195">
        <v>0</v>
      </c>
      <c r="H230" s="195">
        <v>9</v>
      </c>
      <c r="I230" s="195">
        <v>1</v>
      </c>
      <c r="J230" s="195">
        <v>2</v>
      </c>
      <c r="K230" s="195">
        <v>4</v>
      </c>
      <c r="L230" s="195">
        <v>0</v>
      </c>
      <c r="M230" s="195">
        <v>1</v>
      </c>
      <c r="N230" s="195">
        <v>2</v>
      </c>
      <c r="O230" s="195">
        <v>0</v>
      </c>
      <c r="P230" s="195">
        <v>0</v>
      </c>
      <c r="Q230" s="195">
        <v>3</v>
      </c>
      <c r="R230" s="195" t="s">
        <v>73</v>
      </c>
      <c r="S230" s="195">
        <v>1</v>
      </c>
      <c r="T230" s="195">
        <v>2</v>
      </c>
      <c r="U230" s="195">
        <v>4</v>
      </c>
      <c r="V230" s="195">
        <v>0</v>
      </c>
      <c r="W230" s="195">
        <v>1</v>
      </c>
      <c r="X230" s="195">
        <v>0</v>
      </c>
      <c r="Y230" s="185">
        <v>2</v>
      </c>
      <c r="Z230" s="195">
        <v>0</v>
      </c>
      <c r="AA230" s="195">
        <v>0</v>
      </c>
      <c r="AB230" s="148" t="s">
        <v>254</v>
      </c>
      <c r="AC230" s="131" t="s">
        <v>96</v>
      </c>
      <c r="AD230" s="137">
        <v>2710496.87</v>
      </c>
      <c r="AE230" s="137">
        <v>3073520.97</v>
      </c>
      <c r="AF230" s="137">
        <f>3073520.97-202960+509357.02</f>
        <v>3379917.99</v>
      </c>
      <c r="AG230" s="137">
        <f>3073520.97+306397.02</f>
        <v>3379917.99</v>
      </c>
      <c r="AH230" s="137">
        <f>2647772.68+732145.31</f>
        <v>3379917.99</v>
      </c>
      <c r="AI230" s="137">
        <v>2647772.68</v>
      </c>
      <c r="AJ230" s="138">
        <f>SUM(AD230:AI230)</f>
        <v>18571544.490000002</v>
      </c>
      <c r="AK230" s="134">
        <v>2027</v>
      </c>
    </row>
    <row r="231" spans="1:37" s="35" customFormat="1" ht="62.25" customHeight="1">
      <c r="A231" s="247"/>
      <c r="B231" s="195"/>
      <c r="C231" s="195"/>
      <c r="D231" s="195"/>
      <c r="E231" s="195"/>
      <c r="F231" s="195"/>
      <c r="G231" s="195"/>
      <c r="H231" s="195"/>
      <c r="I231" s="195"/>
      <c r="J231" s="195"/>
      <c r="K231" s="195"/>
      <c r="L231" s="195"/>
      <c r="M231" s="195"/>
      <c r="N231" s="195"/>
      <c r="O231" s="195"/>
      <c r="P231" s="195"/>
      <c r="Q231" s="195"/>
      <c r="R231" s="195"/>
      <c r="S231" s="195">
        <v>1</v>
      </c>
      <c r="T231" s="195">
        <v>2</v>
      </c>
      <c r="U231" s="195">
        <v>4</v>
      </c>
      <c r="V231" s="195">
        <v>0</v>
      </c>
      <c r="W231" s="195">
        <v>1</v>
      </c>
      <c r="X231" s="195">
        <v>0</v>
      </c>
      <c r="Y231" s="185">
        <v>2</v>
      </c>
      <c r="Z231" s="195">
        <v>0</v>
      </c>
      <c r="AA231" s="195">
        <v>1</v>
      </c>
      <c r="AB231" s="66" t="s">
        <v>279</v>
      </c>
      <c r="AC231" s="50" t="s">
        <v>95</v>
      </c>
      <c r="AD231" s="37">
        <v>6</v>
      </c>
      <c r="AE231" s="37">
        <v>6</v>
      </c>
      <c r="AF231" s="37">
        <v>6</v>
      </c>
      <c r="AG231" s="37">
        <v>6</v>
      </c>
      <c r="AH231" s="37">
        <v>6</v>
      </c>
      <c r="AI231" s="37">
        <v>6</v>
      </c>
      <c r="AJ231" s="58">
        <f>SUM(AD231:AI231)</f>
        <v>36</v>
      </c>
      <c r="AK231" s="37">
        <v>2027</v>
      </c>
    </row>
    <row r="232" spans="1:37" s="35" customFormat="1" ht="45" customHeight="1" hidden="1">
      <c r="A232" s="247"/>
      <c r="B232" s="195">
        <v>0</v>
      </c>
      <c r="C232" s="195">
        <v>2</v>
      </c>
      <c r="D232" s="195">
        <v>9</v>
      </c>
      <c r="E232" s="195">
        <v>0</v>
      </c>
      <c r="F232" s="195">
        <v>7</v>
      </c>
      <c r="G232" s="195">
        <v>0</v>
      </c>
      <c r="H232" s="195">
        <v>7</v>
      </c>
      <c r="I232" s="195">
        <v>1</v>
      </c>
      <c r="J232" s="195">
        <v>2</v>
      </c>
      <c r="K232" s="195">
        <v>4</v>
      </c>
      <c r="L232" s="195"/>
      <c r="M232" s="195"/>
      <c r="N232" s="195">
        <v>7</v>
      </c>
      <c r="O232" s="195">
        <v>2</v>
      </c>
      <c r="P232" s="195">
        <v>0</v>
      </c>
      <c r="Q232" s="195">
        <v>2</v>
      </c>
      <c r="R232" s="195"/>
      <c r="S232" s="195">
        <v>1</v>
      </c>
      <c r="T232" s="195">
        <v>2</v>
      </c>
      <c r="U232" s="195">
        <v>4</v>
      </c>
      <c r="V232" s="195">
        <v>0</v>
      </c>
      <c r="W232" s="195">
        <v>1</v>
      </c>
      <c r="X232" s="195">
        <v>0</v>
      </c>
      <c r="Y232" s="185">
        <v>5</v>
      </c>
      <c r="Z232" s="195">
        <v>0</v>
      </c>
      <c r="AA232" s="195">
        <v>0</v>
      </c>
      <c r="AB232" s="237" t="s">
        <v>255</v>
      </c>
      <c r="AC232" s="131" t="s">
        <v>96</v>
      </c>
      <c r="AD232" s="137"/>
      <c r="AE232" s="137"/>
      <c r="AF232" s="137"/>
      <c r="AG232" s="137"/>
      <c r="AH232" s="137"/>
      <c r="AI232" s="137"/>
      <c r="AJ232" s="138"/>
      <c r="AK232" s="134"/>
    </row>
    <row r="233" spans="1:37" s="35" customFormat="1" ht="63" customHeight="1">
      <c r="A233" s="247"/>
      <c r="B233" s="195">
        <v>0</v>
      </c>
      <c r="C233" s="195">
        <v>2</v>
      </c>
      <c r="D233" s="195">
        <v>9</v>
      </c>
      <c r="E233" s="195">
        <v>0</v>
      </c>
      <c r="F233" s="195">
        <v>7</v>
      </c>
      <c r="G233" s="195">
        <v>0</v>
      </c>
      <c r="H233" s="195">
        <v>9</v>
      </c>
      <c r="I233" s="195">
        <v>1</v>
      </c>
      <c r="J233" s="195">
        <v>2</v>
      </c>
      <c r="K233" s="195">
        <v>4</v>
      </c>
      <c r="L233" s="195">
        <v>0</v>
      </c>
      <c r="M233" s="195">
        <v>1</v>
      </c>
      <c r="N233" s="195">
        <v>1</v>
      </c>
      <c r="O233" s="195">
        <v>0</v>
      </c>
      <c r="P233" s="195">
        <v>2</v>
      </c>
      <c r="Q233" s="195">
        <v>4</v>
      </c>
      <c r="R233" s="195" t="s">
        <v>73</v>
      </c>
      <c r="S233" s="195">
        <v>1</v>
      </c>
      <c r="T233" s="195">
        <v>2</v>
      </c>
      <c r="U233" s="195">
        <v>4</v>
      </c>
      <c r="V233" s="195">
        <v>0</v>
      </c>
      <c r="W233" s="195">
        <v>1</v>
      </c>
      <c r="X233" s="195">
        <v>0</v>
      </c>
      <c r="Y233" s="185">
        <v>3</v>
      </c>
      <c r="Z233" s="195">
        <v>0</v>
      </c>
      <c r="AA233" s="195">
        <v>0</v>
      </c>
      <c r="AB233" s="238"/>
      <c r="AC233" s="131" t="s">
        <v>96</v>
      </c>
      <c r="AD233" s="137">
        <v>1780988.75</v>
      </c>
      <c r="AE233" s="137">
        <f>1517586.75+97463</f>
        <v>1615049.75</v>
      </c>
      <c r="AF233" s="137">
        <f>1517587.75+107318.5</f>
        <v>1624906.25</v>
      </c>
      <c r="AG233" s="137">
        <f>1517586.75+107319.5</f>
        <v>1624906.25</v>
      </c>
      <c r="AH233" s="137">
        <f>1837216.25-212310</f>
        <v>1624906.25</v>
      </c>
      <c r="AI233" s="137">
        <v>1837216.25</v>
      </c>
      <c r="AJ233" s="137">
        <f>SUM(AD233:AI233)</f>
        <v>10107973.5</v>
      </c>
      <c r="AK233" s="134">
        <v>2027</v>
      </c>
    </row>
    <row r="234" spans="1:37" s="35" customFormat="1" ht="82.5" customHeight="1">
      <c r="A234" s="247"/>
      <c r="B234" s="195"/>
      <c r="C234" s="195"/>
      <c r="D234" s="195"/>
      <c r="E234" s="195"/>
      <c r="F234" s="195"/>
      <c r="G234" s="195"/>
      <c r="H234" s="195"/>
      <c r="I234" s="195"/>
      <c r="J234" s="195"/>
      <c r="K234" s="195"/>
      <c r="L234" s="195"/>
      <c r="M234" s="195"/>
      <c r="N234" s="195"/>
      <c r="O234" s="195"/>
      <c r="P234" s="195"/>
      <c r="Q234" s="195"/>
      <c r="R234" s="195"/>
      <c r="S234" s="195">
        <v>1</v>
      </c>
      <c r="T234" s="195">
        <v>2</v>
      </c>
      <c r="U234" s="195">
        <v>4</v>
      </c>
      <c r="V234" s="195">
        <v>0</v>
      </c>
      <c r="W234" s="195">
        <v>1</v>
      </c>
      <c r="X234" s="195">
        <v>0</v>
      </c>
      <c r="Y234" s="185">
        <v>3</v>
      </c>
      <c r="Z234" s="195">
        <v>0</v>
      </c>
      <c r="AA234" s="195">
        <v>1</v>
      </c>
      <c r="AB234" s="77" t="s">
        <v>277</v>
      </c>
      <c r="AC234" s="50" t="s">
        <v>107</v>
      </c>
      <c r="AD234" s="97">
        <v>985</v>
      </c>
      <c r="AE234" s="97">
        <v>985</v>
      </c>
      <c r="AF234" s="97">
        <v>985</v>
      </c>
      <c r="AG234" s="97">
        <v>985</v>
      </c>
      <c r="AH234" s="97">
        <v>985</v>
      </c>
      <c r="AI234" s="97">
        <v>985</v>
      </c>
      <c r="AJ234" s="122">
        <f>SUM(AD234:AI234)</f>
        <v>5910</v>
      </c>
      <c r="AK234" s="49">
        <v>2027</v>
      </c>
    </row>
    <row r="235" spans="1:37" s="35" customFormat="1" ht="49.5" customHeight="1">
      <c r="A235" s="247"/>
      <c r="B235" s="195">
        <v>0</v>
      </c>
      <c r="C235" s="195">
        <v>2</v>
      </c>
      <c r="D235" s="195">
        <v>9</v>
      </c>
      <c r="E235" s="195">
        <v>0</v>
      </c>
      <c r="F235" s="195">
        <v>7</v>
      </c>
      <c r="G235" s="195">
        <v>0</v>
      </c>
      <c r="H235" s="195">
        <v>9</v>
      </c>
      <c r="I235" s="195">
        <v>1</v>
      </c>
      <c r="J235" s="195">
        <v>2</v>
      </c>
      <c r="K235" s="195">
        <v>4</v>
      </c>
      <c r="L235" s="195">
        <v>0</v>
      </c>
      <c r="M235" s="195">
        <v>1</v>
      </c>
      <c r="N235" s="195" t="s">
        <v>75</v>
      </c>
      <c r="O235" s="195">
        <v>0</v>
      </c>
      <c r="P235" s="195">
        <v>2</v>
      </c>
      <c r="Q235" s="195">
        <v>4</v>
      </c>
      <c r="R235" s="195" t="s">
        <v>73</v>
      </c>
      <c r="S235" s="195">
        <v>1</v>
      </c>
      <c r="T235" s="195">
        <v>2</v>
      </c>
      <c r="U235" s="195">
        <v>4</v>
      </c>
      <c r="V235" s="195">
        <v>0</v>
      </c>
      <c r="W235" s="195">
        <v>1</v>
      </c>
      <c r="X235" s="195">
        <v>0</v>
      </c>
      <c r="Y235" s="185">
        <v>4</v>
      </c>
      <c r="Z235" s="195">
        <v>0</v>
      </c>
      <c r="AA235" s="195">
        <v>0</v>
      </c>
      <c r="AB235" s="141" t="s">
        <v>256</v>
      </c>
      <c r="AC235" s="131" t="s">
        <v>96</v>
      </c>
      <c r="AD235" s="137">
        <v>268472.66</v>
      </c>
      <c r="AE235" s="137">
        <f>268683.04-9288.26</f>
        <v>259394.77999999997</v>
      </c>
      <c r="AF235" s="137">
        <f>268683.04+48000</f>
        <v>316683.04</v>
      </c>
      <c r="AG235" s="137">
        <f>268683.04+48000</f>
        <v>316683.04</v>
      </c>
      <c r="AH235" s="137">
        <f>271628.36+45054.68</f>
        <v>316683.04</v>
      </c>
      <c r="AI235" s="137">
        <v>271628.36</v>
      </c>
      <c r="AJ235" s="137">
        <f>SUM(AD235:AI235)</f>
        <v>1749544.92</v>
      </c>
      <c r="AK235" s="136">
        <v>2027</v>
      </c>
    </row>
    <row r="236" spans="1:37" s="35" customFormat="1" ht="63.75" customHeight="1">
      <c r="A236" s="247"/>
      <c r="B236" s="195"/>
      <c r="C236" s="195"/>
      <c r="D236" s="195"/>
      <c r="E236" s="195"/>
      <c r="F236" s="195"/>
      <c r="G236" s="195"/>
      <c r="H236" s="195"/>
      <c r="I236" s="195"/>
      <c r="J236" s="195"/>
      <c r="K236" s="195"/>
      <c r="L236" s="195"/>
      <c r="M236" s="195"/>
      <c r="N236" s="195"/>
      <c r="O236" s="195"/>
      <c r="P236" s="195"/>
      <c r="Q236" s="195"/>
      <c r="R236" s="195"/>
      <c r="S236" s="195">
        <v>1</v>
      </c>
      <c r="T236" s="195">
        <v>2</v>
      </c>
      <c r="U236" s="195">
        <v>4</v>
      </c>
      <c r="V236" s="195">
        <v>0</v>
      </c>
      <c r="W236" s="195">
        <v>1</v>
      </c>
      <c r="X236" s="195">
        <v>0</v>
      </c>
      <c r="Y236" s="185">
        <v>4</v>
      </c>
      <c r="Z236" s="195">
        <v>0</v>
      </c>
      <c r="AA236" s="195">
        <v>1</v>
      </c>
      <c r="AB236" s="77" t="s">
        <v>276</v>
      </c>
      <c r="AC236" s="38" t="s">
        <v>107</v>
      </c>
      <c r="AD236" s="109">
        <v>37</v>
      </c>
      <c r="AE236" s="109">
        <v>37</v>
      </c>
      <c r="AF236" s="109">
        <v>37</v>
      </c>
      <c r="AG236" s="109">
        <v>37</v>
      </c>
      <c r="AH236" s="109">
        <v>37</v>
      </c>
      <c r="AI236" s="109">
        <v>37</v>
      </c>
      <c r="AJ236" s="165">
        <f>SUM(AD236:AI236)</f>
        <v>222</v>
      </c>
      <c r="AK236" s="87">
        <v>2027</v>
      </c>
    </row>
    <row r="237" spans="1:37" s="35" customFormat="1" ht="30" customHeight="1" hidden="1">
      <c r="A237" s="247"/>
      <c r="B237" s="195">
        <v>0</v>
      </c>
      <c r="C237" s="195">
        <v>2</v>
      </c>
      <c r="D237" s="195">
        <v>9</v>
      </c>
      <c r="E237" s="195">
        <v>0</v>
      </c>
      <c r="F237" s="195">
        <v>4</v>
      </c>
      <c r="G237" s="195">
        <v>0</v>
      </c>
      <c r="H237" s="195">
        <v>1</v>
      </c>
      <c r="I237" s="195">
        <v>1</v>
      </c>
      <c r="J237" s="195">
        <v>2</v>
      </c>
      <c r="K237" s="195">
        <v>4</v>
      </c>
      <c r="L237" s="195">
        <v>2</v>
      </c>
      <c r="M237" s="195">
        <v>0</v>
      </c>
      <c r="N237" s="195">
        <v>3</v>
      </c>
      <c r="O237" s="195">
        <v>1</v>
      </c>
      <c r="P237" s="195"/>
      <c r="Q237" s="195"/>
      <c r="R237" s="195"/>
      <c r="S237" s="195">
        <v>1</v>
      </c>
      <c r="T237" s="195">
        <v>2</v>
      </c>
      <c r="U237" s="195">
        <v>4</v>
      </c>
      <c r="V237" s="195">
        <v>0</v>
      </c>
      <c r="W237" s="195">
        <v>1</v>
      </c>
      <c r="X237" s="195">
        <v>0</v>
      </c>
      <c r="Y237" s="185">
        <v>7</v>
      </c>
      <c r="Z237" s="195">
        <v>0</v>
      </c>
      <c r="AA237" s="195">
        <v>0</v>
      </c>
      <c r="AB237" s="237" t="s">
        <v>257</v>
      </c>
      <c r="AC237" s="131" t="s">
        <v>96</v>
      </c>
      <c r="AD237" s="137"/>
      <c r="AE237" s="137"/>
      <c r="AF237" s="137"/>
      <c r="AG237" s="137"/>
      <c r="AH237" s="137"/>
      <c r="AI237" s="137"/>
      <c r="AJ237" s="138"/>
      <c r="AK237" s="136"/>
    </row>
    <row r="238" spans="1:37" s="35" customFormat="1" ht="57.75" customHeight="1">
      <c r="A238" s="247"/>
      <c r="B238" s="195">
        <v>0</v>
      </c>
      <c r="C238" s="195">
        <v>2</v>
      </c>
      <c r="D238" s="195">
        <v>9</v>
      </c>
      <c r="E238" s="195">
        <v>0</v>
      </c>
      <c r="F238" s="195">
        <v>7</v>
      </c>
      <c r="G238" s="195">
        <v>0</v>
      </c>
      <c r="H238" s="195">
        <v>9</v>
      </c>
      <c r="I238" s="195">
        <v>1</v>
      </c>
      <c r="J238" s="195">
        <v>2</v>
      </c>
      <c r="K238" s="195">
        <v>4</v>
      </c>
      <c r="L238" s="195">
        <v>0</v>
      </c>
      <c r="M238" s="195">
        <v>1</v>
      </c>
      <c r="N238" s="195">
        <v>2</v>
      </c>
      <c r="O238" s="195">
        <v>0</v>
      </c>
      <c r="P238" s="195">
        <v>0</v>
      </c>
      <c r="Q238" s="195">
        <v>4</v>
      </c>
      <c r="R238" s="195" t="s">
        <v>74</v>
      </c>
      <c r="S238" s="195">
        <v>1</v>
      </c>
      <c r="T238" s="195">
        <v>2</v>
      </c>
      <c r="U238" s="195">
        <v>4</v>
      </c>
      <c r="V238" s="195">
        <v>0</v>
      </c>
      <c r="W238" s="195">
        <v>1</v>
      </c>
      <c r="X238" s="195">
        <v>0</v>
      </c>
      <c r="Y238" s="185">
        <v>5</v>
      </c>
      <c r="Z238" s="195">
        <v>0</v>
      </c>
      <c r="AA238" s="195">
        <v>0</v>
      </c>
      <c r="AB238" s="238"/>
      <c r="AC238" s="131" t="s">
        <v>96</v>
      </c>
      <c r="AD238" s="137">
        <v>358738.76</v>
      </c>
      <c r="AE238" s="137">
        <f>611840.53-74865+3979.69</f>
        <v>540955.22</v>
      </c>
      <c r="AF238" s="137">
        <f>611840.53+62187.17</f>
        <v>674027.7000000001</v>
      </c>
      <c r="AG238" s="137">
        <f>611840.53+62187.17</f>
        <v>674027.7000000001</v>
      </c>
      <c r="AH238" s="137">
        <f>363024.42+311003.28</f>
        <v>674027.7</v>
      </c>
      <c r="AI238" s="137">
        <v>363024.42</v>
      </c>
      <c r="AJ238" s="138">
        <f>SUM(AD238:AI238)</f>
        <v>3284801.5</v>
      </c>
      <c r="AK238" s="136">
        <v>2027</v>
      </c>
    </row>
    <row r="239" spans="1:37" s="35" customFormat="1" ht="62.25" customHeight="1">
      <c r="A239" s="247"/>
      <c r="B239" s="195"/>
      <c r="C239" s="195"/>
      <c r="D239" s="195"/>
      <c r="E239" s="195"/>
      <c r="F239" s="195"/>
      <c r="G239" s="195"/>
      <c r="H239" s="195"/>
      <c r="I239" s="195"/>
      <c r="J239" s="195"/>
      <c r="K239" s="195"/>
      <c r="L239" s="195"/>
      <c r="M239" s="195"/>
      <c r="N239" s="195"/>
      <c r="O239" s="195"/>
      <c r="P239" s="195"/>
      <c r="Q239" s="195"/>
      <c r="R239" s="195"/>
      <c r="S239" s="195">
        <v>1</v>
      </c>
      <c r="T239" s="195">
        <v>2</v>
      </c>
      <c r="U239" s="195">
        <v>4</v>
      </c>
      <c r="V239" s="195">
        <v>0</v>
      </c>
      <c r="W239" s="195">
        <v>1</v>
      </c>
      <c r="X239" s="195">
        <v>0</v>
      </c>
      <c r="Y239" s="185">
        <v>5</v>
      </c>
      <c r="Z239" s="195">
        <v>0</v>
      </c>
      <c r="AA239" s="195">
        <v>1</v>
      </c>
      <c r="AB239" s="66" t="s">
        <v>275</v>
      </c>
      <c r="AC239" s="50" t="s">
        <v>107</v>
      </c>
      <c r="AD239" s="110">
        <v>86</v>
      </c>
      <c r="AE239" s="110">
        <v>86</v>
      </c>
      <c r="AF239" s="110">
        <v>86</v>
      </c>
      <c r="AG239" s="110">
        <v>86</v>
      </c>
      <c r="AH239" s="110">
        <v>86</v>
      </c>
      <c r="AI239" s="110">
        <v>86</v>
      </c>
      <c r="AJ239" s="102">
        <f>SUM(AD239:AI239)</f>
        <v>516</v>
      </c>
      <c r="AK239" s="49">
        <v>2027</v>
      </c>
    </row>
    <row r="240" spans="1:37" s="35" customFormat="1" ht="43.5" customHeight="1" hidden="1">
      <c r="A240" s="247"/>
      <c r="B240" s="195">
        <v>0</v>
      </c>
      <c r="C240" s="195">
        <v>0</v>
      </c>
      <c r="D240" s="195">
        <v>9</v>
      </c>
      <c r="E240" s="195">
        <v>0</v>
      </c>
      <c r="F240" s="195">
        <v>7</v>
      </c>
      <c r="G240" s="195">
        <v>0</v>
      </c>
      <c r="H240" s="195">
        <v>7</v>
      </c>
      <c r="I240" s="195">
        <v>1</v>
      </c>
      <c r="J240" s="195">
        <v>2</v>
      </c>
      <c r="K240" s="195">
        <v>4</v>
      </c>
      <c r="L240" s="195"/>
      <c r="M240" s="195"/>
      <c r="N240" s="195">
        <v>7</v>
      </c>
      <c r="O240" s="195">
        <v>8</v>
      </c>
      <c r="P240" s="195">
        <v>8</v>
      </c>
      <c r="Q240" s="195">
        <v>8</v>
      </c>
      <c r="R240" s="195"/>
      <c r="S240" s="195">
        <v>1</v>
      </c>
      <c r="T240" s="195">
        <v>2</v>
      </c>
      <c r="U240" s="195">
        <v>4</v>
      </c>
      <c r="V240" s="195">
        <v>0</v>
      </c>
      <c r="W240" s="195">
        <v>1</v>
      </c>
      <c r="X240" s="195">
        <v>0</v>
      </c>
      <c r="Y240" s="185">
        <v>10</v>
      </c>
      <c r="Z240" s="195">
        <v>0</v>
      </c>
      <c r="AA240" s="195">
        <v>0</v>
      </c>
      <c r="AB240" s="249" t="s">
        <v>162</v>
      </c>
      <c r="AC240" s="50" t="s">
        <v>96</v>
      </c>
      <c r="AD240" s="100"/>
      <c r="AE240" s="37"/>
      <c r="AF240" s="100"/>
      <c r="AG240" s="100"/>
      <c r="AH240" s="100"/>
      <c r="AI240" s="100"/>
      <c r="AJ240" s="51"/>
      <c r="AK240" s="49"/>
    </row>
    <row r="241" spans="1:37" s="35" customFormat="1" ht="18.75" customHeight="1" hidden="1">
      <c r="A241" s="247"/>
      <c r="B241" s="195">
        <v>0</v>
      </c>
      <c r="C241" s="195">
        <v>0</v>
      </c>
      <c r="D241" s="195">
        <v>9</v>
      </c>
      <c r="E241" s="195">
        <v>0</v>
      </c>
      <c r="F241" s="195">
        <v>7</v>
      </c>
      <c r="G241" s="195">
        <v>0</v>
      </c>
      <c r="H241" s="195">
        <v>7</v>
      </c>
      <c r="I241" s="195">
        <v>1</v>
      </c>
      <c r="J241" s="195">
        <v>2</v>
      </c>
      <c r="K241" s="195">
        <v>4</v>
      </c>
      <c r="L241" s="195">
        <v>0</v>
      </c>
      <c r="M241" s="195">
        <v>1</v>
      </c>
      <c r="N241" s="195">
        <v>1</v>
      </c>
      <c r="O241" s="195">
        <v>0</v>
      </c>
      <c r="P241" s="195">
        <v>9</v>
      </c>
      <c r="Q241" s="195">
        <v>2</v>
      </c>
      <c r="R241" s="195" t="s">
        <v>71</v>
      </c>
      <c r="S241" s="195">
        <v>1</v>
      </c>
      <c r="T241" s="195">
        <v>2</v>
      </c>
      <c r="U241" s="195">
        <v>4</v>
      </c>
      <c r="V241" s="195">
        <v>0</v>
      </c>
      <c r="W241" s="195">
        <v>1</v>
      </c>
      <c r="X241" s="195">
        <v>0</v>
      </c>
      <c r="Y241" s="185">
        <v>10</v>
      </c>
      <c r="Z241" s="195">
        <v>0</v>
      </c>
      <c r="AA241" s="195">
        <v>0</v>
      </c>
      <c r="AB241" s="250"/>
      <c r="AC241" s="50" t="s">
        <v>96</v>
      </c>
      <c r="AD241" s="111"/>
      <c r="AE241" s="37"/>
      <c r="AF241" s="111"/>
      <c r="AG241" s="111"/>
      <c r="AH241" s="111"/>
      <c r="AI241" s="111"/>
      <c r="AJ241" s="112"/>
      <c r="AK241" s="49"/>
    </row>
    <row r="242" spans="1:37" s="35" customFormat="1" ht="60" customHeight="1" hidden="1">
      <c r="A242" s="247"/>
      <c r="B242" s="195"/>
      <c r="C242" s="195"/>
      <c r="D242" s="195"/>
      <c r="E242" s="195"/>
      <c r="F242" s="195"/>
      <c r="G242" s="195"/>
      <c r="H242" s="195"/>
      <c r="I242" s="195"/>
      <c r="J242" s="195"/>
      <c r="K242" s="195"/>
      <c r="L242" s="195"/>
      <c r="M242" s="195"/>
      <c r="N242" s="195"/>
      <c r="O242" s="195"/>
      <c r="P242" s="195"/>
      <c r="Q242" s="195"/>
      <c r="R242" s="195"/>
      <c r="S242" s="195">
        <v>1</v>
      </c>
      <c r="T242" s="195">
        <v>2</v>
      </c>
      <c r="U242" s="195">
        <v>4</v>
      </c>
      <c r="V242" s="195">
        <v>0</v>
      </c>
      <c r="W242" s="195">
        <v>1</v>
      </c>
      <c r="X242" s="195">
        <v>0</v>
      </c>
      <c r="Y242" s="185">
        <v>10</v>
      </c>
      <c r="Z242" s="195">
        <v>0</v>
      </c>
      <c r="AA242" s="195">
        <v>1</v>
      </c>
      <c r="AB242" s="66" t="s">
        <v>163</v>
      </c>
      <c r="AC242" s="50" t="s">
        <v>95</v>
      </c>
      <c r="AD242" s="100"/>
      <c r="AE242" s="37"/>
      <c r="AF242" s="100"/>
      <c r="AG242" s="100"/>
      <c r="AH242" s="100"/>
      <c r="AI242" s="100"/>
      <c r="AJ242" s="58"/>
      <c r="AK242" s="49"/>
    </row>
    <row r="243" spans="1:37" s="35" customFormat="1" ht="57.75" customHeight="1">
      <c r="A243" s="247"/>
      <c r="B243" s="195">
        <v>0</v>
      </c>
      <c r="C243" s="195">
        <v>2</v>
      </c>
      <c r="D243" s="195">
        <v>9</v>
      </c>
      <c r="E243" s="195">
        <v>0</v>
      </c>
      <c r="F243" s="195">
        <v>7</v>
      </c>
      <c r="G243" s="195">
        <v>0</v>
      </c>
      <c r="H243" s="195">
        <v>9</v>
      </c>
      <c r="I243" s="195">
        <v>1</v>
      </c>
      <c r="J243" s="195">
        <v>2</v>
      </c>
      <c r="K243" s="195">
        <v>4</v>
      </c>
      <c r="L243" s="195">
        <v>0</v>
      </c>
      <c r="M243" s="195">
        <v>1</v>
      </c>
      <c r="N243" s="195" t="s">
        <v>75</v>
      </c>
      <c r="O243" s="195">
        <v>0</v>
      </c>
      <c r="P243" s="195">
        <v>4</v>
      </c>
      <c r="Q243" s="195">
        <v>5</v>
      </c>
      <c r="R243" s="195" t="s">
        <v>74</v>
      </c>
      <c r="S243" s="195">
        <v>1</v>
      </c>
      <c r="T243" s="195">
        <v>2</v>
      </c>
      <c r="U243" s="195">
        <v>4</v>
      </c>
      <c r="V243" s="195">
        <v>0</v>
      </c>
      <c r="W243" s="195">
        <v>1</v>
      </c>
      <c r="X243" s="195">
        <v>0</v>
      </c>
      <c r="Y243" s="185">
        <v>6</v>
      </c>
      <c r="Z243" s="195">
        <v>0</v>
      </c>
      <c r="AA243" s="195">
        <v>0</v>
      </c>
      <c r="AB243" s="148" t="s">
        <v>323</v>
      </c>
      <c r="AC243" s="131" t="s">
        <v>96</v>
      </c>
      <c r="AD243" s="137">
        <v>0</v>
      </c>
      <c r="AE243" s="137">
        <v>0</v>
      </c>
      <c r="AF243" s="227">
        <v>0</v>
      </c>
      <c r="AG243" s="137">
        <v>0</v>
      </c>
      <c r="AH243" s="137">
        <v>0</v>
      </c>
      <c r="AI243" s="137">
        <v>0</v>
      </c>
      <c r="AJ243" s="138">
        <f>SUM(AD243:AI243)</f>
        <v>0</v>
      </c>
      <c r="AK243" s="136">
        <v>2024</v>
      </c>
    </row>
    <row r="244" spans="1:37" s="35" customFormat="1" ht="62.25" customHeight="1">
      <c r="A244" s="247"/>
      <c r="B244" s="195"/>
      <c r="C244" s="195"/>
      <c r="D244" s="195"/>
      <c r="E244" s="195"/>
      <c r="F244" s="195"/>
      <c r="G244" s="195"/>
      <c r="H244" s="195"/>
      <c r="I244" s="195"/>
      <c r="J244" s="195"/>
      <c r="K244" s="195"/>
      <c r="L244" s="195"/>
      <c r="M244" s="195"/>
      <c r="N244" s="195"/>
      <c r="O244" s="195"/>
      <c r="P244" s="195"/>
      <c r="Q244" s="195"/>
      <c r="R244" s="195"/>
      <c r="S244" s="195">
        <v>1</v>
      </c>
      <c r="T244" s="195">
        <v>2</v>
      </c>
      <c r="U244" s="195">
        <v>4</v>
      </c>
      <c r="V244" s="195">
        <v>0</v>
      </c>
      <c r="W244" s="195">
        <v>1</v>
      </c>
      <c r="X244" s="195">
        <v>0</v>
      </c>
      <c r="Y244" s="185">
        <v>6</v>
      </c>
      <c r="Z244" s="195">
        <v>0</v>
      </c>
      <c r="AA244" s="195">
        <v>1</v>
      </c>
      <c r="AB244" s="66" t="s">
        <v>324</v>
      </c>
      <c r="AC244" s="50" t="s">
        <v>107</v>
      </c>
      <c r="AD244" s="110">
        <v>0</v>
      </c>
      <c r="AE244" s="110">
        <v>0</v>
      </c>
      <c r="AF244" s="110">
        <v>1</v>
      </c>
      <c r="AG244" s="110">
        <v>0</v>
      </c>
      <c r="AH244" s="110">
        <v>0</v>
      </c>
      <c r="AI244" s="110">
        <v>0</v>
      </c>
      <c r="AJ244" s="102">
        <f>SUM(AD244:AI244)</f>
        <v>1</v>
      </c>
      <c r="AK244" s="49">
        <v>2024</v>
      </c>
    </row>
    <row r="245" spans="1:37" s="35" customFormat="1" ht="66.75" customHeight="1">
      <c r="A245" s="247"/>
      <c r="B245" s="195"/>
      <c r="C245" s="195"/>
      <c r="D245" s="195"/>
      <c r="E245" s="195"/>
      <c r="F245" s="195"/>
      <c r="G245" s="195"/>
      <c r="H245" s="195"/>
      <c r="I245" s="195"/>
      <c r="J245" s="195"/>
      <c r="K245" s="195"/>
      <c r="L245" s="195"/>
      <c r="M245" s="195"/>
      <c r="N245" s="195"/>
      <c r="O245" s="195"/>
      <c r="P245" s="195"/>
      <c r="Q245" s="195"/>
      <c r="R245" s="195"/>
      <c r="S245" s="195">
        <v>1</v>
      </c>
      <c r="T245" s="195">
        <v>2</v>
      </c>
      <c r="U245" s="195">
        <v>4</v>
      </c>
      <c r="V245" s="195">
        <v>0</v>
      </c>
      <c r="W245" s="195">
        <v>2</v>
      </c>
      <c r="X245" s="195">
        <v>0</v>
      </c>
      <c r="Y245" s="185">
        <v>0</v>
      </c>
      <c r="Z245" s="195">
        <v>0</v>
      </c>
      <c r="AA245" s="195">
        <v>0</v>
      </c>
      <c r="AB245" s="158" t="s">
        <v>86</v>
      </c>
      <c r="AC245" s="161"/>
      <c r="AD245" s="213">
        <f aca="true" t="shared" si="13" ref="AD245:AI245">AD247+AD249+AD251</f>
        <v>314895.96</v>
      </c>
      <c r="AE245" s="213">
        <f t="shared" si="13"/>
        <v>239910</v>
      </c>
      <c r="AF245" s="213">
        <f t="shared" si="13"/>
        <v>340332</v>
      </c>
      <c r="AG245" s="213">
        <f t="shared" si="13"/>
        <v>340332</v>
      </c>
      <c r="AH245" s="213">
        <f t="shared" si="13"/>
        <v>340332</v>
      </c>
      <c r="AI245" s="213">
        <f t="shared" si="13"/>
        <v>342762</v>
      </c>
      <c r="AJ245" s="212">
        <f>SUM(AD245:AI245)</f>
        <v>1918563.96</v>
      </c>
      <c r="AK245" s="121">
        <v>2027</v>
      </c>
    </row>
    <row r="246" spans="1:37" s="35" customFormat="1" ht="60">
      <c r="A246" s="247"/>
      <c r="B246" s="195"/>
      <c r="C246" s="195"/>
      <c r="D246" s="195"/>
      <c r="E246" s="195"/>
      <c r="F246" s="195"/>
      <c r="G246" s="195"/>
      <c r="H246" s="195"/>
      <c r="I246" s="195"/>
      <c r="J246" s="195"/>
      <c r="K246" s="195"/>
      <c r="L246" s="195"/>
      <c r="M246" s="195"/>
      <c r="N246" s="195"/>
      <c r="O246" s="195"/>
      <c r="P246" s="195"/>
      <c r="Q246" s="195"/>
      <c r="R246" s="195"/>
      <c r="S246" s="195">
        <v>1</v>
      </c>
      <c r="T246" s="195">
        <v>2</v>
      </c>
      <c r="U246" s="195">
        <v>4</v>
      </c>
      <c r="V246" s="195">
        <v>0</v>
      </c>
      <c r="W246" s="195">
        <v>2</v>
      </c>
      <c r="X246" s="195">
        <v>0</v>
      </c>
      <c r="Y246" s="185">
        <v>0</v>
      </c>
      <c r="Z246" s="195">
        <v>0</v>
      </c>
      <c r="AA246" s="195">
        <v>1</v>
      </c>
      <c r="AB246" s="77" t="s">
        <v>258</v>
      </c>
      <c r="AC246" s="50" t="s">
        <v>95</v>
      </c>
      <c r="AD246" s="37">
        <v>0</v>
      </c>
      <c r="AE246" s="37">
        <v>0</v>
      </c>
      <c r="AF246" s="37">
        <v>0</v>
      </c>
      <c r="AG246" s="37">
        <v>0</v>
      </c>
      <c r="AH246" s="37">
        <v>0</v>
      </c>
      <c r="AI246" s="37">
        <v>0</v>
      </c>
      <c r="AJ246" s="58">
        <v>0</v>
      </c>
      <c r="AK246" s="37">
        <v>2027</v>
      </c>
    </row>
    <row r="247" spans="1:37" s="35" customFormat="1" ht="45">
      <c r="A247" s="247"/>
      <c r="B247" s="195"/>
      <c r="C247" s="195"/>
      <c r="D247" s="195"/>
      <c r="E247" s="195"/>
      <c r="F247" s="195"/>
      <c r="G247" s="195"/>
      <c r="H247" s="195"/>
      <c r="I247" s="195"/>
      <c r="J247" s="195"/>
      <c r="K247" s="195"/>
      <c r="L247" s="195"/>
      <c r="M247" s="195"/>
      <c r="N247" s="195"/>
      <c r="O247" s="195"/>
      <c r="P247" s="195"/>
      <c r="Q247" s="195"/>
      <c r="R247" s="195"/>
      <c r="S247" s="195">
        <v>1</v>
      </c>
      <c r="T247" s="195">
        <v>2</v>
      </c>
      <c r="U247" s="195">
        <v>4</v>
      </c>
      <c r="V247" s="195">
        <v>0</v>
      </c>
      <c r="W247" s="195">
        <v>2</v>
      </c>
      <c r="X247" s="195">
        <v>0</v>
      </c>
      <c r="Y247" s="185">
        <v>1</v>
      </c>
      <c r="Z247" s="195">
        <v>0</v>
      </c>
      <c r="AA247" s="195">
        <v>0</v>
      </c>
      <c r="AB247" s="141" t="s">
        <v>87</v>
      </c>
      <c r="AC247" s="131" t="s">
        <v>96</v>
      </c>
      <c r="AD247" s="146"/>
      <c r="AE247" s="134"/>
      <c r="AF247" s="134"/>
      <c r="AG247" s="146"/>
      <c r="AH247" s="146"/>
      <c r="AI247" s="146"/>
      <c r="AJ247" s="139"/>
      <c r="AK247" s="134"/>
    </row>
    <row r="248" spans="1:37" s="35" customFormat="1" ht="66.75" customHeight="1">
      <c r="A248" s="247"/>
      <c r="B248" s="195"/>
      <c r="C248" s="195"/>
      <c r="D248" s="195"/>
      <c r="E248" s="195"/>
      <c r="F248" s="195"/>
      <c r="G248" s="195"/>
      <c r="H248" s="195"/>
      <c r="I248" s="195"/>
      <c r="J248" s="195"/>
      <c r="K248" s="195"/>
      <c r="L248" s="195"/>
      <c r="M248" s="195"/>
      <c r="N248" s="195"/>
      <c r="O248" s="195"/>
      <c r="P248" s="195"/>
      <c r="Q248" s="195"/>
      <c r="R248" s="195"/>
      <c r="S248" s="195">
        <v>1</v>
      </c>
      <c r="T248" s="195">
        <v>2</v>
      </c>
      <c r="U248" s="195">
        <v>4</v>
      </c>
      <c r="V248" s="195">
        <v>0</v>
      </c>
      <c r="W248" s="195">
        <v>2</v>
      </c>
      <c r="X248" s="195">
        <v>0</v>
      </c>
      <c r="Y248" s="185">
        <v>1</v>
      </c>
      <c r="Z248" s="195">
        <v>0</v>
      </c>
      <c r="AA248" s="195">
        <v>1</v>
      </c>
      <c r="AB248" s="77" t="s">
        <v>24</v>
      </c>
      <c r="AC248" s="50" t="s">
        <v>107</v>
      </c>
      <c r="AD248" s="37">
        <v>1022</v>
      </c>
      <c r="AE248" s="37">
        <v>1022</v>
      </c>
      <c r="AF248" s="37">
        <v>1022</v>
      </c>
      <c r="AG248" s="37">
        <v>1022</v>
      </c>
      <c r="AH248" s="37">
        <v>1022</v>
      </c>
      <c r="AI248" s="37">
        <v>1022</v>
      </c>
      <c r="AJ248" s="58">
        <f>SUM(AD248:AI248)</f>
        <v>6132</v>
      </c>
      <c r="AK248" s="49">
        <v>2027</v>
      </c>
    </row>
    <row r="249" spans="1:37" s="35" customFormat="1" ht="52.5" customHeight="1">
      <c r="A249" s="247"/>
      <c r="B249" s="195">
        <v>0</v>
      </c>
      <c r="C249" s="195">
        <v>2</v>
      </c>
      <c r="D249" s="195">
        <v>9</v>
      </c>
      <c r="E249" s="195">
        <v>0</v>
      </c>
      <c r="F249" s="195">
        <v>7</v>
      </c>
      <c r="G249" s="195">
        <v>0</v>
      </c>
      <c r="H249" s="195">
        <v>9</v>
      </c>
      <c r="I249" s="195">
        <v>1</v>
      </c>
      <c r="J249" s="195">
        <v>2</v>
      </c>
      <c r="K249" s="195">
        <v>4</v>
      </c>
      <c r="L249" s="195">
        <v>0</v>
      </c>
      <c r="M249" s="195">
        <v>2</v>
      </c>
      <c r="N249" s="195">
        <v>2</v>
      </c>
      <c r="O249" s="195">
        <v>0</v>
      </c>
      <c r="P249" s="195">
        <v>0</v>
      </c>
      <c r="Q249" s="195">
        <v>6</v>
      </c>
      <c r="R249" s="195" t="s">
        <v>74</v>
      </c>
      <c r="S249" s="195">
        <v>1</v>
      </c>
      <c r="T249" s="195">
        <v>2</v>
      </c>
      <c r="U249" s="195">
        <v>4</v>
      </c>
      <c r="V249" s="195">
        <v>0</v>
      </c>
      <c r="W249" s="195">
        <v>2</v>
      </c>
      <c r="X249" s="195">
        <v>0</v>
      </c>
      <c r="Y249" s="185">
        <v>2</v>
      </c>
      <c r="Z249" s="195">
        <v>0</v>
      </c>
      <c r="AA249" s="195">
        <v>0</v>
      </c>
      <c r="AB249" s="148" t="s">
        <v>88</v>
      </c>
      <c r="AC249" s="131" t="s">
        <v>96</v>
      </c>
      <c r="AD249" s="137">
        <v>314895.96</v>
      </c>
      <c r="AE249" s="137">
        <f>340158-3979.69-96268.31</f>
        <v>239910</v>
      </c>
      <c r="AF249" s="137">
        <f>340158+174</f>
        <v>340332</v>
      </c>
      <c r="AG249" s="137">
        <f>340158+174</f>
        <v>340332</v>
      </c>
      <c r="AH249" s="137">
        <f>342762-2430</f>
        <v>340332</v>
      </c>
      <c r="AI249" s="137">
        <v>342762</v>
      </c>
      <c r="AJ249" s="138">
        <f>SUM(AD249:AI249)</f>
        <v>1918563.96</v>
      </c>
      <c r="AK249" s="136">
        <v>2027</v>
      </c>
    </row>
    <row r="250" spans="1:37" s="35" customFormat="1" ht="65.25" customHeight="1">
      <c r="A250" s="247"/>
      <c r="B250" s="195"/>
      <c r="C250" s="195"/>
      <c r="D250" s="195"/>
      <c r="E250" s="195"/>
      <c r="F250" s="195"/>
      <c r="G250" s="195"/>
      <c r="H250" s="195"/>
      <c r="I250" s="195"/>
      <c r="J250" s="195"/>
      <c r="K250" s="195"/>
      <c r="L250" s="195"/>
      <c r="M250" s="195"/>
      <c r="N250" s="195"/>
      <c r="O250" s="195"/>
      <c r="P250" s="195"/>
      <c r="Q250" s="195"/>
      <c r="R250" s="195"/>
      <c r="S250" s="195">
        <v>1</v>
      </c>
      <c r="T250" s="195">
        <v>2</v>
      </c>
      <c r="U250" s="195">
        <v>4</v>
      </c>
      <c r="V250" s="195">
        <v>0</v>
      </c>
      <c r="W250" s="195">
        <v>2</v>
      </c>
      <c r="X250" s="195">
        <v>0</v>
      </c>
      <c r="Y250" s="185">
        <v>2</v>
      </c>
      <c r="Z250" s="195">
        <v>0</v>
      </c>
      <c r="AA250" s="195">
        <v>1</v>
      </c>
      <c r="AB250" s="66" t="s">
        <v>26</v>
      </c>
      <c r="AC250" s="50" t="s">
        <v>25</v>
      </c>
      <c r="AD250" s="67" t="s">
        <v>259</v>
      </c>
      <c r="AE250" s="67" t="s">
        <v>259</v>
      </c>
      <c r="AF250" s="67" t="s">
        <v>259</v>
      </c>
      <c r="AG250" s="67" t="s">
        <v>259</v>
      </c>
      <c r="AH250" s="67" t="s">
        <v>259</v>
      </c>
      <c r="AI250" s="67" t="s">
        <v>259</v>
      </c>
      <c r="AJ250" s="122" t="s">
        <v>260</v>
      </c>
      <c r="AK250" s="49">
        <v>2027</v>
      </c>
    </row>
    <row r="251" spans="1:37" s="35" customFormat="1" ht="63" customHeight="1">
      <c r="A251" s="247"/>
      <c r="B251" s="195">
        <v>0</v>
      </c>
      <c r="C251" s="195">
        <v>2</v>
      </c>
      <c r="D251" s="195">
        <v>9</v>
      </c>
      <c r="E251" s="195">
        <v>0</v>
      </c>
      <c r="F251" s="195">
        <v>7</v>
      </c>
      <c r="G251" s="195">
        <v>0</v>
      </c>
      <c r="H251" s="195">
        <v>9</v>
      </c>
      <c r="I251" s="195">
        <v>1</v>
      </c>
      <c r="J251" s="195">
        <v>2</v>
      </c>
      <c r="K251" s="195">
        <v>4</v>
      </c>
      <c r="L251" s="195">
        <v>0</v>
      </c>
      <c r="M251" s="195">
        <v>2</v>
      </c>
      <c r="N251" s="195">
        <v>2</v>
      </c>
      <c r="O251" s="195">
        <v>0</v>
      </c>
      <c r="P251" s="195">
        <v>0</v>
      </c>
      <c r="Q251" s="195">
        <v>2</v>
      </c>
      <c r="R251" s="195" t="s">
        <v>71</v>
      </c>
      <c r="S251" s="195">
        <v>1</v>
      </c>
      <c r="T251" s="195">
        <v>2</v>
      </c>
      <c r="U251" s="195">
        <v>4</v>
      </c>
      <c r="V251" s="195">
        <v>0</v>
      </c>
      <c r="W251" s="195">
        <v>2</v>
      </c>
      <c r="X251" s="195">
        <v>0</v>
      </c>
      <c r="Y251" s="185">
        <v>3</v>
      </c>
      <c r="Z251" s="195">
        <v>0</v>
      </c>
      <c r="AA251" s="195">
        <v>0</v>
      </c>
      <c r="AB251" s="148" t="s">
        <v>89</v>
      </c>
      <c r="AC251" s="131" t="s">
        <v>96</v>
      </c>
      <c r="AD251" s="146"/>
      <c r="AE251" s="166"/>
      <c r="AF251" s="166"/>
      <c r="AG251" s="146"/>
      <c r="AH251" s="146"/>
      <c r="AI251" s="146"/>
      <c r="AJ251" s="147"/>
      <c r="AK251" s="136"/>
    </row>
    <row r="252" spans="1:37" s="35" customFormat="1" ht="65.25" customHeight="1">
      <c r="A252" s="247"/>
      <c r="B252" s="195"/>
      <c r="C252" s="195"/>
      <c r="D252" s="195"/>
      <c r="E252" s="195"/>
      <c r="F252" s="195"/>
      <c r="G252" s="195"/>
      <c r="H252" s="195"/>
      <c r="I252" s="195"/>
      <c r="J252" s="195"/>
      <c r="K252" s="195"/>
      <c r="L252" s="195"/>
      <c r="M252" s="195"/>
      <c r="N252" s="195"/>
      <c r="O252" s="195"/>
      <c r="P252" s="195"/>
      <c r="Q252" s="195"/>
      <c r="R252" s="195"/>
      <c r="S252" s="195">
        <v>1</v>
      </c>
      <c r="T252" s="195">
        <v>2</v>
      </c>
      <c r="U252" s="195">
        <v>4</v>
      </c>
      <c r="V252" s="195">
        <v>0</v>
      </c>
      <c r="W252" s="195">
        <v>2</v>
      </c>
      <c r="X252" s="195">
        <v>0</v>
      </c>
      <c r="Y252" s="185">
        <v>3</v>
      </c>
      <c r="Z252" s="195">
        <v>0</v>
      </c>
      <c r="AA252" s="195">
        <v>1</v>
      </c>
      <c r="AB252" s="80" t="s">
        <v>164</v>
      </c>
      <c r="AC252" s="50" t="s">
        <v>95</v>
      </c>
      <c r="AD252" s="114">
        <v>3</v>
      </c>
      <c r="AE252" s="118">
        <v>3</v>
      </c>
      <c r="AF252" s="119">
        <v>3</v>
      </c>
      <c r="AG252" s="114">
        <v>3</v>
      </c>
      <c r="AH252" s="114">
        <v>3</v>
      </c>
      <c r="AI252" s="114">
        <v>3</v>
      </c>
      <c r="AJ252" s="120">
        <f>SUM(AD252:AI252)</f>
        <v>18</v>
      </c>
      <c r="AK252" s="49">
        <v>2027</v>
      </c>
    </row>
    <row r="253" spans="1:37" s="35" customFormat="1" ht="46.5" customHeight="1" hidden="1">
      <c r="A253" s="247"/>
      <c r="B253" s="195">
        <v>0</v>
      </c>
      <c r="C253" s="195">
        <v>0</v>
      </c>
      <c r="D253" s="195">
        <v>9</v>
      </c>
      <c r="E253" s="195">
        <v>0</v>
      </c>
      <c r="F253" s="195">
        <v>7</v>
      </c>
      <c r="G253" s="195">
        <v>0</v>
      </c>
      <c r="H253" s="195">
        <v>7</v>
      </c>
      <c r="I253" s="195">
        <v>1</v>
      </c>
      <c r="J253" s="195">
        <v>2</v>
      </c>
      <c r="K253" s="195">
        <v>4</v>
      </c>
      <c r="L253" s="195"/>
      <c r="M253" s="195"/>
      <c r="N253" s="195">
        <v>2</v>
      </c>
      <c r="O253" s="195">
        <v>0</v>
      </c>
      <c r="P253" s="195">
        <v>3</v>
      </c>
      <c r="Q253" s="195">
        <v>8</v>
      </c>
      <c r="R253" s="195"/>
      <c r="S253" s="195">
        <v>1</v>
      </c>
      <c r="T253" s="195">
        <v>2</v>
      </c>
      <c r="U253" s="195">
        <v>4</v>
      </c>
      <c r="V253" s="195">
        <v>0</v>
      </c>
      <c r="W253" s="195">
        <v>2</v>
      </c>
      <c r="X253" s="195">
        <v>0</v>
      </c>
      <c r="Y253" s="185">
        <v>5</v>
      </c>
      <c r="Z253" s="195">
        <v>0</v>
      </c>
      <c r="AA253" s="195">
        <v>0</v>
      </c>
      <c r="AB253" s="77" t="s">
        <v>165</v>
      </c>
      <c r="AC253" s="50" t="s">
        <v>96</v>
      </c>
      <c r="AD253" s="100"/>
      <c r="AE253" s="103"/>
      <c r="AF253" s="100"/>
      <c r="AG253" s="100"/>
      <c r="AH253" s="100"/>
      <c r="AI253" s="100"/>
      <c r="AJ253" s="51"/>
      <c r="AK253" s="49"/>
    </row>
    <row r="254" spans="1:37" s="35" customFormat="1" ht="43.5" customHeight="1" hidden="1">
      <c r="A254" s="247"/>
      <c r="B254" s="195"/>
      <c r="C254" s="195"/>
      <c r="D254" s="195"/>
      <c r="E254" s="195"/>
      <c r="F254" s="195"/>
      <c r="G254" s="195"/>
      <c r="H254" s="195"/>
      <c r="I254" s="195"/>
      <c r="J254" s="195"/>
      <c r="K254" s="195"/>
      <c r="L254" s="195"/>
      <c r="M254" s="195"/>
      <c r="N254" s="195"/>
      <c r="O254" s="195"/>
      <c r="P254" s="195"/>
      <c r="Q254" s="195"/>
      <c r="R254" s="195"/>
      <c r="S254" s="195">
        <v>1</v>
      </c>
      <c r="T254" s="195">
        <v>2</v>
      </c>
      <c r="U254" s="195">
        <v>4</v>
      </c>
      <c r="V254" s="195">
        <v>0</v>
      </c>
      <c r="W254" s="195">
        <v>2</v>
      </c>
      <c r="X254" s="195">
        <v>0</v>
      </c>
      <c r="Y254" s="185">
        <v>5</v>
      </c>
      <c r="Z254" s="195">
        <v>0</v>
      </c>
      <c r="AA254" s="195">
        <v>1</v>
      </c>
      <c r="AB254" s="66" t="s">
        <v>166</v>
      </c>
      <c r="AC254" s="50" t="s">
        <v>95</v>
      </c>
      <c r="AD254" s="100"/>
      <c r="AE254" s="103"/>
      <c r="AF254" s="100"/>
      <c r="AG254" s="100"/>
      <c r="AH254" s="100"/>
      <c r="AI254" s="100"/>
      <c r="AJ254" s="51"/>
      <c r="AK254" s="49"/>
    </row>
    <row r="255" spans="1:37" s="35" customFormat="1" ht="66" customHeight="1" hidden="1">
      <c r="A255" s="247"/>
      <c r="B255" s="195">
        <v>0</v>
      </c>
      <c r="C255" s="195">
        <v>0</v>
      </c>
      <c r="D255" s="195">
        <v>9</v>
      </c>
      <c r="E255" s="195">
        <v>0</v>
      </c>
      <c r="F255" s="195">
        <v>7</v>
      </c>
      <c r="G255" s="195">
        <v>0</v>
      </c>
      <c r="H255" s="195">
        <v>2</v>
      </c>
      <c r="I255" s="195">
        <v>1</v>
      </c>
      <c r="J255" s="195">
        <v>2</v>
      </c>
      <c r="K255" s="195">
        <v>4</v>
      </c>
      <c r="L255" s="195"/>
      <c r="M255" s="195"/>
      <c r="N255" s="195">
        <v>5</v>
      </c>
      <c r="O255" s="195">
        <v>0</v>
      </c>
      <c r="P255" s="195">
        <v>9</v>
      </c>
      <c r="Q255" s="195">
        <v>7</v>
      </c>
      <c r="R255" s="195"/>
      <c r="S255" s="195">
        <v>1</v>
      </c>
      <c r="T255" s="195">
        <v>2</v>
      </c>
      <c r="U255" s="195">
        <v>4</v>
      </c>
      <c r="V255" s="195">
        <v>0</v>
      </c>
      <c r="W255" s="195">
        <v>2</v>
      </c>
      <c r="X255" s="195">
        <v>0</v>
      </c>
      <c r="Y255" s="185">
        <v>6</v>
      </c>
      <c r="Z255" s="195">
        <v>0</v>
      </c>
      <c r="AA255" s="195">
        <v>0</v>
      </c>
      <c r="AB255" s="82" t="s">
        <v>167</v>
      </c>
      <c r="AC255" s="50" t="s">
        <v>96</v>
      </c>
      <c r="AD255" s="100"/>
      <c r="AE255" s="103"/>
      <c r="AF255" s="100"/>
      <c r="AG255" s="100"/>
      <c r="AH255" s="100"/>
      <c r="AI255" s="100"/>
      <c r="AJ255" s="51"/>
      <c r="AK255" s="49"/>
    </row>
    <row r="256" spans="1:37" s="35" customFormat="1" ht="104.25" hidden="1">
      <c r="A256" s="247"/>
      <c r="B256" s="195"/>
      <c r="C256" s="195"/>
      <c r="D256" s="195"/>
      <c r="E256" s="195"/>
      <c r="F256" s="195"/>
      <c r="G256" s="195"/>
      <c r="H256" s="195"/>
      <c r="I256" s="195"/>
      <c r="J256" s="195"/>
      <c r="K256" s="195"/>
      <c r="L256" s="195"/>
      <c r="M256" s="195"/>
      <c r="N256" s="195"/>
      <c r="O256" s="195"/>
      <c r="P256" s="195"/>
      <c r="Q256" s="195"/>
      <c r="R256" s="195"/>
      <c r="S256" s="195">
        <v>1</v>
      </c>
      <c r="T256" s="195">
        <v>2</v>
      </c>
      <c r="U256" s="195">
        <v>4</v>
      </c>
      <c r="V256" s="195">
        <v>0</v>
      </c>
      <c r="W256" s="195">
        <v>2</v>
      </c>
      <c r="X256" s="195">
        <v>0</v>
      </c>
      <c r="Y256" s="185">
        <v>6</v>
      </c>
      <c r="Z256" s="195">
        <v>0</v>
      </c>
      <c r="AA256" s="195">
        <v>1</v>
      </c>
      <c r="AB256" s="82" t="s">
        <v>168</v>
      </c>
      <c r="AC256" s="50" t="s">
        <v>95</v>
      </c>
      <c r="AD256" s="100"/>
      <c r="AE256" s="103"/>
      <c r="AF256" s="100"/>
      <c r="AG256" s="100"/>
      <c r="AH256" s="100"/>
      <c r="AI256" s="100"/>
      <c r="AJ256" s="58"/>
      <c r="AK256" s="37"/>
    </row>
    <row r="257" spans="1:37" s="35" customFormat="1" ht="61.5" customHeight="1" hidden="1">
      <c r="A257" s="247"/>
      <c r="B257" s="195"/>
      <c r="C257" s="195"/>
      <c r="D257" s="195"/>
      <c r="E257" s="195"/>
      <c r="F257" s="195"/>
      <c r="G257" s="195"/>
      <c r="H257" s="195"/>
      <c r="I257" s="195"/>
      <c r="J257" s="195"/>
      <c r="K257" s="195"/>
      <c r="L257" s="195"/>
      <c r="M257" s="195"/>
      <c r="N257" s="195"/>
      <c r="O257" s="195"/>
      <c r="P257" s="195"/>
      <c r="Q257" s="195"/>
      <c r="R257" s="195"/>
      <c r="S257" s="195"/>
      <c r="T257" s="195"/>
      <c r="U257" s="195"/>
      <c r="V257" s="195"/>
      <c r="W257" s="195"/>
      <c r="X257" s="195"/>
      <c r="Y257" s="185"/>
      <c r="Z257" s="195"/>
      <c r="AA257" s="195"/>
      <c r="AB257" s="82" t="s">
        <v>169</v>
      </c>
      <c r="AC257" s="50" t="s">
        <v>96</v>
      </c>
      <c r="AD257" s="100"/>
      <c r="AE257" s="103"/>
      <c r="AF257" s="100"/>
      <c r="AG257" s="100"/>
      <c r="AH257" s="100"/>
      <c r="AI257" s="100"/>
      <c r="AJ257" s="58"/>
      <c r="AK257" s="37"/>
    </row>
    <row r="258" spans="1:37" s="35" customFormat="1" ht="119.25" hidden="1">
      <c r="A258" s="247"/>
      <c r="B258" s="195"/>
      <c r="C258" s="195"/>
      <c r="D258" s="195"/>
      <c r="E258" s="195"/>
      <c r="F258" s="195"/>
      <c r="G258" s="195"/>
      <c r="H258" s="195"/>
      <c r="I258" s="195"/>
      <c r="J258" s="195"/>
      <c r="K258" s="195"/>
      <c r="L258" s="195"/>
      <c r="M258" s="195"/>
      <c r="N258" s="195"/>
      <c r="O258" s="195"/>
      <c r="P258" s="195"/>
      <c r="Q258" s="195"/>
      <c r="R258" s="195"/>
      <c r="S258" s="195"/>
      <c r="T258" s="195"/>
      <c r="U258" s="195"/>
      <c r="V258" s="195"/>
      <c r="W258" s="195"/>
      <c r="X258" s="195"/>
      <c r="Y258" s="185"/>
      <c r="Z258" s="195"/>
      <c r="AA258" s="195"/>
      <c r="AB258" s="82" t="s">
        <v>170</v>
      </c>
      <c r="AC258" s="50" t="s">
        <v>95</v>
      </c>
      <c r="AD258" s="100"/>
      <c r="AE258" s="103"/>
      <c r="AF258" s="100"/>
      <c r="AG258" s="100"/>
      <c r="AH258" s="100"/>
      <c r="AI258" s="100"/>
      <c r="AJ258" s="58"/>
      <c r="AK258" s="37"/>
    </row>
    <row r="259" spans="1:37" s="35" customFormat="1" ht="64.5" customHeight="1" hidden="1">
      <c r="A259" s="247"/>
      <c r="B259" s="195"/>
      <c r="C259" s="195"/>
      <c r="D259" s="195"/>
      <c r="E259" s="195"/>
      <c r="F259" s="195"/>
      <c r="G259" s="195"/>
      <c r="H259" s="195"/>
      <c r="I259" s="195"/>
      <c r="J259" s="195"/>
      <c r="K259" s="195"/>
      <c r="L259" s="195"/>
      <c r="M259" s="195"/>
      <c r="N259" s="195"/>
      <c r="O259" s="195"/>
      <c r="P259" s="195"/>
      <c r="Q259" s="195"/>
      <c r="R259" s="195"/>
      <c r="S259" s="195"/>
      <c r="T259" s="195"/>
      <c r="U259" s="195"/>
      <c r="V259" s="195"/>
      <c r="W259" s="195"/>
      <c r="X259" s="195"/>
      <c r="Y259" s="185"/>
      <c r="Z259" s="195"/>
      <c r="AA259" s="195"/>
      <c r="AB259" s="82" t="s">
        <v>171</v>
      </c>
      <c r="AC259" s="50" t="s">
        <v>96</v>
      </c>
      <c r="AD259" s="100"/>
      <c r="AE259" s="103"/>
      <c r="AF259" s="100"/>
      <c r="AG259" s="100"/>
      <c r="AH259" s="100"/>
      <c r="AI259" s="100"/>
      <c r="AJ259" s="58"/>
      <c r="AK259" s="37"/>
    </row>
    <row r="260" spans="1:37" s="35" customFormat="1" ht="44.25" hidden="1">
      <c r="A260" s="247"/>
      <c r="B260" s="195"/>
      <c r="C260" s="195"/>
      <c r="D260" s="195"/>
      <c r="E260" s="195"/>
      <c r="F260" s="195"/>
      <c r="G260" s="195"/>
      <c r="H260" s="195"/>
      <c r="I260" s="195"/>
      <c r="J260" s="195"/>
      <c r="K260" s="195"/>
      <c r="L260" s="195"/>
      <c r="M260" s="195"/>
      <c r="N260" s="195"/>
      <c r="O260" s="195"/>
      <c r="P260" s="195"/>
      <c r="Q260" s="195"/>
      <c r="R260" s="195"/>
      <c r="S260" s="195"/>
      <c r="T260" s="195"/>
      <c r="U260" s="195"/>
      <c r="V260" s="195"/>
      <c r="W260" s="195"/>
      <c r="X260" s="195"/>
      <c r="Y260" s="185"/>
      <c r="Z260" s="195"/>
      <c r="AA260" s="195"/>
      <c r="AB260" s="82" t="s">
        <v>187</v>
      </c>
      <c r="AC260" s="50" t="s">
        <v>107</v>
      </c>
      <c r="AD260" s="100"/>
      <c r="AE260" s="103"/>
      <c r="AF260" s="100"/>
      <c r="AG260" s="100"/>
      <c r="AH260" s="100"/>
      <c r="AI260" s="100"/>
      <c r="AJ260" s="58"/>
      <c r="AK260" s="37"/>
    </row>
    <row r="261" spans="1:37" s="35" customFormat="1" ht="15">
      <c r="A261" s="247"/>
      <c r="B261" s="195"/>
      <c r="C261" s="195"/>
      <c r="D261" s="195"/>
      <c r="E261" s="195"/>
      <c r="F261" s="195"/>
      <c r="G261" s="195"/>
      <c r="H261" s="195"/>
      <c r="I261" s="195"/>
      <c r="J261" s="195"/>
      <c r="K261" s="195"/>
      <c r="L261" s="195"/>
      <c r="M261" s="195"/>
      <c r="N261" s="195"/>
      <c r="O261" s="195"/>
      <c r="P261" s="195"/>
      <c r="Q261" s="195"/>
      <c r="R261" s="195"/>
      <c r="S261" s="195">
        <v>1</v>
      </c>
      <c r="T261" s="195">
        <v>2</v>
      </c>
      <c r="U261" s="195">
        <v>5</v>
      </c>
      <c r="V261" s="195">
        <v>0</v>
      </c>
      <c r="W261" s="195">
        <v>0</v>
      </c>
      <c r="X261" s="195">
        <v>0</v>
      </c>
      <c r="Y261" s="185">
        <v>0</v>
      </c>
      <c r="Z261" s="195">
        <v>0</v>
      </c>
      <c r="AA261" s="195">
        <v>0</v>
      </c>
      <c r="AB261" s="78" t="s">
        <v>90</v>
      </c>
      <c r="AC261" s="75" t="s">
        <v>93</v>
      </c>
      <c r="AD261" s="96"/>
      <c r="AE261" s="96"/>
      <c r="AF261" s="96"/>
      <c r="AG261" s="96"/>
      <c r="AH261" s="96"/>
      <c r="AI261" s="96"/>
      <c r="AJ261" s="159"/>
      <c r="AK261" s="96"/>
    </row>
    <row r="262" spans="1:37" s="35" customFormat="1" ht="51.75" customHeight="1">
      <c r="A262" s="247"/>
      <c r="B262" s="195"/>
      <c r="C262" s="195"/>
      <c r="D262" s="195"/>
      <c r="E262" s="195"/>
      <c r="F262" s="195"/>
      <c r="G262" s="195"/>
      <c r="H262" s="195"/>
      <c r="I262" s="195"/>
      <c r="J262" s="195"/>
      <c r="K262" s="195"/>
      <c r="L262" s="195"/>
      <c r="M262" s="195"/>
      <c r="N262" s="195"/>
      <c r="O262" s="195"/>
      <c r="P262" s="195"/>
      <c r="Q262" s="195"/>
      <c r="R262" s="195"/>
      <c r="S262" s="195">
        <v>1</v>
      </c>
      <c r="T262" s="195">
        <v>2</v>
      </c>
      <c r="U262" s="195">
        <v>5</v>
      </c>
      <c r="V262" s="195">
        <v>0</v>
      </c>
      <c r="W262" s="195">
        <v>1</v>
      </c>
      <c r="X262" s="195">
        <v>0</v>
      </c>
      <c r="Y262" s="185">
        <v>0</v>
      </c>
      <c r="Z262" s="195">
        <v>0</v>
      </c>
      <c r="AA262" s="195">
        <v>0</v>
      </c>
      <c r="AB262" s="127" t="s">
        <v>91</v>
      </c>
      <c r="AC262" s="144"/>
      <c r="AD262" s="129"/>
      <c r="AE262" s="129"/>
      <c r="AF262" s="129"/>
      <c r="AG262" s="129"/>
      <c r="AH262" s="129"/>
      <c r="AI262" s="129"/>
      <c r="AJ262" s="130"/>
      <c r="AK262" s="129"/>
    </row>
    <row r="263" spans="1:37" s="35" customFormat="1" ht="45">
      <c r="A263" s="247"/>
      <c r="B263" s="195"/>
      <c r="C263" s="195"/>
      <c r="D263" s="195"/>
      <c r="E263" s="195"/>
      <c r="F263" s="195"/>
      <c r="G263" s="195"/>
      <c r="H263" s="195"/>
      <c r="I263" s="195"/>
      <c r="J263" s="195"/>
      <c r="K263" s="195"/>
      <c r="L263" s="195"/>
      <c r="M263" s="195"/>
      <c r="N263" s="195"/>
      <c r="O263" s="195"/>
      <c r="P263" s="195"/>
      <c r="Q263" s="195"/>
      <c r="R263" s="195"/>
      <c r="S263" s="195">
        <v>1</v>
      </c>
      <c r="T263" s="195">
        <v>2</v>
      </c>
      <c r="U263" s="195">
        <v>5</v>
      </c>
      <c r="V263" s="195">
        <v>0</v>
      </c>
      <c r="W263" s="195">
        <v>1</v>
      </c>
      <c r="X263" s="195">
        <v>0</v>
      </c>
      <c r="Y263" s="185">
        <v>0</v>
      </c>
      <c r="Z263" s="195">
        <v>0</v>
      </c>
      <c r="AA263" s="195">
        <v>1</v>
      </c>
      <c r="AB263" s="77" t="s">
        <v>318</v>
      </c>
      <c r="AC263" s="50" t="s">
        <v>95</v>
      </c>
      <c r="AD263" s="37">
        <v>0</v>
      </c>
      <c r="AE263" s="37">
        <v>0</v>
      </c>
      <c r="AF263" s="37">
        <v>0</v>
      </c>
      <c r="AG263" s="37">
        <v>0</v>
      </c>
      <c r="AH263" s="37">
        <v>0</v>
      </c>
      <c r="AI263" s="37">
        <v>0</v>
      </c>
      <c r="AJ263" s="58">
        <v>0</v>
      </c>
      <c r="AK263" s="37">
        <v>2027</v>
      </c>
    </row>
    <row r="264" spans="1:37" s="35" customFormat="1" ht="73.5" customHeight="1">
      <c r="A264" s="247"/>
      <c r="B264" s="195"/>
      <c r="C264" s="195"/>
      <c r="D264" s="195"/>
      <c r="E264" s="195"/>
      <c r="F264" s="195"/>
      <c r="G264" s="195"/>
      <c r="H264" s="195"/>
      <c r="I264" s="195"/>
      <c r="J264" s="195"/>
      <c r="K264" s="195"/>
      <c r="L264" s="195"/>
      <c r="M264" s="195"/>
      <c r="N264" s="195"/>
      <c r="O264" s="195"/>
      <c r="P264" s="195"/>
      <c r="Q264" s="195"/>
      <c r="R264" s="195"/>
      <c r="S264" s="195">
        <v>1</v>
      </c>
      <c r="T264" s="195">
        <v>2</v>
      </c>
      <c r="U264" s="195">
        <v>5</v>
      </c>
      <c r="V264" s="195">
        <v>0</v>
      </c>
      <c r="W264" s="195">
        <v>1</v>
      </c>
      <c r="X264" s="195">
        <v>0</v>
      </c>
      <c r="Y264" s="185">
        <v>1</v>
      </c>
      <c r="Z264" s="195">
        <v>0</v>
      </c>
      <c r="AA264" s="195">
        <v>0</v>
      </c>
      <c r="AB264" s="141" t="s">
        <v>161</v>
      </c>
      <c r="AC264" s="156"/>
      <c r="AD264" s="134"/>
      <c r="AE264" s="134"/>
      <c r="AF264" s="134"/>
      <c r="AG264" s="134"/>
      <c r="AH264" s="134"/>
      <c r="AI264" s="134"/>
      <c r="AJ264" s="139"/>
      <c r="AK264" s="136"/>
    </row>
    <row r="265" spans="1:37" s="35" customFormat="1" ht="94.5" customHeight="1">
      <c r="A265" s="247"/>
      <c r="B265" s="195"/>
      <c r="C265" s="195"/>
      <c r="D265" s="195"/>
      <c r="E265" s="195"/>
      <c r="F265" s="195"/>
      <c r="G265" s="195"/>
      <c r="H265" s="195"/>
      <c r="I265" s="195"/>
      <c r="J265" s="195"/>
      <c r="K265" s="195"/>
      <c r="L265" s="195"/>
      <c r="M265" s="195"/>
      <c r="N265" s="195"/>
      <c r="O265" s="195"/>
      <c r="P265" s="195"/>
      <c r="Q265" s="195"/>
      <c r="R265" s="195"/>
      <c r="S265" s="195">
        <v>1</v>
      </c>
      <c r="T265" s="195">
        <v>2</v>
      </c>
      <c r="U265" s="195">
        <v>5</v>
      </c>
      <c r="V265" s="195">
        <v>0</v>
      </c>
      <c r="W265" s="195">
        <v>1</v>
      </c>
      <c r="X265" s="195">
        <v>0</v>
      </c>
      <c r="Y265" s="185">
        <v>1</v>
      </c>
      <c r="Z265" s="195">
        <v>0</v>
      </c>
      <c r="AA265" s="195">
        <v>1</v>
      </c>
      <c r="AB265" s="77" t="s">
        <v>154</v>
      </c>
      <c r="AC265" s="50" t="s">
        <v>95</v>
      </c>
      <c r="AD265" s="37">
        <v>2</v>
      </c>
      <c r="AE265" s="37">
        <v>2</v>
      </c>
      <c r="AF265" s="37">
        <v>2</v>
      </c>
      <c r="AG265" s="37">
        <v>2</v>
      </c>
      <c r="AH265" s="37">
        <v>2</v>
      </c>
      <c r="AI265" s="37">
        <v>2</v>
      </c>
      <c r="AJ265" s="58">
        <f>SUM(AD265:AI265)</f>
        <v>12</v>
      </c>
      <c r="AK265" s="37">
        <v>2027</v>
      </c>
    </row>
    <row r="266" spans="1:37" s="35" customFormat="1" ht="51" customHeight="1">
      <c r="A266" s="247"/>
      <c r="B266" s="195"/>
      <c r="C266" s="195"/>
      <c r="D266" s="195"/>
      <c r="E266" s="195"/>
      <c r="F266" s="195"/>
      <c r="G266" s="195"/>
      <c r="H266" s="195"/>
      <c r="I266" s="195"/>
      <c r="J266" s="195"/>
      <c r="K266" s="195"/>
      <c r="L266" s="195"/>
      <c r="M266" s="195"/>
      <c r="N266" s="195"/>
      <c r="O266" s="195"/>
      <c r="P266" s="195"/>
      <c r="Q266" s="195"/>
      <c r="R266" s="195"/>
      <c r="S266" s="195">
        <v>1</v>
      </c>
      <c r="T266" s="195">
        <v>2</v>
      </c>
      <c r="U266" s="195">
        <v>5</v>
      </c>
      <c r="V266" s="195">
        <v>0</v>
      </c>
      <c r="W266" s="195">
        <v>2</v>
      </c>
      <c r="X266" s="195">
        <v>0</v>
      </c>
      <c r="Y266" s="185">
        <v>0</v>
      </c>
      <c r="Z266" s="195">
        <v>0</v>
      </c>
      <c r="AA266" s="195">
        <v>0</v>
      </c>
      <c r="AB266" s="127" t="s">
        <v>92</v>
      </c>
      <c r="AC266" s="144"/>
      <c r="AD266" s="129"/>
      <c r="AE266" s="129"/>
      <c r="AF266" s="129"/>
      <c r="AG266" s="129"/>
      <c r="AH266" s="129"/>
      <c r="AI266" s="129"/>
      <c r="AJ266" s="130"/>
      <c r="AK266" s="129"/>
    </row>
    <row r="267" spans="1:37" s="35" customFormat="1" ht="45">
      <c r="A267" s="247"/>
      <c r="B267" s="195"/>
      <c r="C267" s="195"/>
      <c r="D267" s="195"/>
      <c r="E267" s="195"/>
      <c r="F267" s="195"/>
      <c r="G267" s="195"/>
      <c r="H267" s="195"/>
      <c r="I267" s="195"/>
      <c r="J267" s="195"/>
      <c r="K267" s="195"/>
      <c r="L267" s="195"/>
      <c r="M267" s="195"/>
      <c r="N267" s="195"/>
      <c r="O267" s="195"/>
      <c r="P267" s="195"/>
      <c r="Q267" s="195"/>
      <c r="R267" s="195"/>
      <c r="S267" s="195">
        <v>1</v>
      </c>
      <c r="T267" s="195">
        <v>2</v>
      </c>
      <c r="U267" s="195">
        <v>5</v>
      </c>
      <c r="V267" s="195">
        <v>0</v>
      </c>
      <c r="W267" s="195">
        <v>2</v>
      </c>
      <c r="X267" s="195">
        <v>0</v>
      </c>
      <c r="Y267" s="185">
        <v>0</v>
      </c>
      <c r="Z267" s="195">
        <v>0</v>
      </c>
      <c r="AA267" s="195">
        <v>1</v>
      </c>
      <c r="AB267" s="77" t="s">
        <v>319</v>
      </c>
      <c r="AC267" s="50" t="s">
        <v>95</v>
      </c>
      <c r="AD267" s="37">
        <v>0</v>
      </c>
      <c r="AE267" s="37">
        <v>0</v>
      </c>
      <c r="AF267" s="37">
        <v>0</v>
      </c>
      <c r="AG267" s="37">
        <v>0</v>
      </c>
      <c r="AH267" s="37">
        <v>0</v>
      </c>
      <c r="AI267" s="37">
        <v>0</v>
      </c>
      <c r="AJ267" s="58">
        <v>0</v>
      </c>
      <c r="AK267" s="37">
        <v>2027</v>
      </c>
    </row>
    <row r="268" spans="1:37" s="35" customFormat="1" ht="60">
      <c r="A268" s="247"/>
      <c r="B268" s="195"/>
      <c r="C268" s="195"/>
      <c r="D268" s="195"/>
      <c r="E268" s="195"/>
      <c r="F268" s="195"/>
      <c r="G268" s="195"/>
      <c r="H268" s="195"/>
      <c r="I268" s="195"/>
      <c r="J268" s="195"/>
      <c r="K268" s="195"/>
      <c r="L268" s="195"/>
      <c r="M268" s="195"/>
      <c r="N268" s="195"/>
      <c r="O268" s="195"/>
      <c r="P268" s="195"/>
      <c r="Q268" s="195"/>
      <c r="R268" s="195"/>
      <c r="S268" s="195">
        <v>1</v>
      </c>
      <c r="T268" s="195">
        <v>2</v>
      </c>
      <c r="U268" s="195">
        <v>5</v>
      </c>
      <c r="V268" s="195">
        <v>0</v>
      </c>
      <c r="W268" s="195">
        <v>2</v>
      </c>
      <c r="X268" s="195">
        <v>0</v>
      </c>
      <c r="Y268" s="185">
        <v>1</v>
      </c>
      <c r="Z268" s="195">
        <v>0</v>
      </c>
      <c r="AA268" s="195">
        <v>0</v>
      </c>
      <c r="AB268" s="167" t="s">
        <v>155</v>
      </c>
      <c r="AC268" s="131"/>
      <c r="AD268" s="134"/>
      <c r="AE268" s="168"/>
      <c r="AF268" s="134"/>
      <c r="AG268" s="134"/>
      <c r="AH268" s="134"/>
      <c r="AI268" s="134"/>
      <c r="AJ268" s="139"/>
      <c r="AK268" s="134"/>
    </row>
    <row r="269" spans="1:37" s="35" customFormat="1" ht="89.25">
      <c r="A269" s="247"/>
      <c r="B269" s="195"/>
      <c r="C269" s="195"/>
      <c r="D269" s="195"/>
      <c r="E269" s="195"/>
      <c r="F269" s="195"/>
      <c r="G269" s="195"/>
      <c r="H269" s="195"/>
      <c r="I269" s="195"/>
      <c r="J269" s="195"/>
      <c r="K269" s="195"/>
      <c r="L269" s="195"/>
      <c r="M269" s="195"/>
      <c r="N269" s="195"/>
      <c r="O269" s="195"/>
      <c r="P269" s="195"/>
      <c r="Q269" s="195"/>
      <c r="R269" s="195"/>
      <c r="S269" s="195">
        <v>1</v>
      </c>
      <c r="T269" s="195">
        <v>2</v>
      </c>
      <c r="U269" s="195">
        <v>5</v>
      </c>
      <c r="V269" s="195">
        <v>0</v>
      </c>
      <c r="W269" s="195">
        <v>2</v>
      </c>
      <c r="X269" s="195">
        <v>0</v>
      </c>
      <c r="Y269" s="185">
        <v>1</v>
      </c>
      <c r="Z269" s="195">
        <v>0</v>
      </c>
      <c r="AA269" s="195">
        <v>1</v>
      </c>
      <c r="AB269" s="79" t="s">
        <v>335</v>
      </c>
      <c r="AC269" s="50" t="s">
        <v>98</v>
      </c>
      <c r="AD269" s="37">
        <v>5</v>
      </c>
      <c r="AE269" s="37">
        <v>5</v>
      </c>
      <c r="AF269" s="37">
        <v>5</v>
      </c>
      <c r="AG269" s="37">
        <v>5</v>
      </c>
      <c r="AH269" s="37">
        <v>5</v>
      </c>
      <c r="AI269" s="37">
        <v>5</v>
      </c>
      <c r="AJ269" s="58">
        <f>SUM(AD269:AI269)</f>
        <v>30</v>
      </c>
      <c r="AK269" s="37">
        <v>2027</v>
      </c>
    </row>
    <row r="270" spans="1:37" s="35" customFormat="1" ht="78.75" customHeight="1">
      <c r="A270" s="45"/>
      <c r="B270" s="195"/>
      <c r="C270" s="195"/>
      <c r="D270" s="195"/>
      <c r="E270" s="195"/>
      <c r="F270" s="195"/>
      <c r="G270" s="195"/>
      <c r="H270" s="195"/>
      <c r="I270" s="195"/>
      <c r="J270" s="195"/>
      <c r="K270" s="195"/>
      <c r="L270" s="195"/>
      <c r="M270" s="195"/>
      <c r="N270" s="195"/>
      <c r="O270" s="195"/>
      <c r="P270" s="195"/>
      <c r="Q270" s="195"/>
      <c r="R270" s="195"/>
      <c r="S270" s="195">
        <v>1</v>
      </c>
      <c r="T270" s="195">
        <v>2</v>
      </c>
      <c r="U270" s="195">
        <v>5</v>
      </c>
      <c r="V270" s="195">
        <v>0</v>
      </c>
      <c r="W270" s="195">
        <v>2</v>
      </c>
      <c r="X270" s="195">
        <v>0</v>
      </c>
      <c r="Y270" s="185">
        <v>1</v>
      </c>
      <c r="Z270" s="195">
        <v>0</v>
      </c>
      <c r="AA270" s="195">
        <v>2</v>
      </c>
      <c r="AB270" s="66" t="s">
        <v>156</v>
      </c>
      <c r="AC270" s="50" t="s">
        <v>106</v>
      </c>
      <c r="AD270" s="37">
        <v>50</v>
      </c>
      <c r="AE270" s="110">
        <v>50</v>
      </c>
      <c r="AF270" s="37">
        <v>50</v>
      </c>
      <c r="AG270" s="37">
        <v>50</v>
      </c>
      <c r="AH270" s="37">
        <v>50</v>
      </c>
      <c r="AI270" s="37">
        <v>50</v>
      </c>
      <c r="AJ270" s="58">
        <f>SUM(AD270:AI270)</f>
        <v>300</v>
      </c>
      <c r="AK270" s="49">
        <v>2027</v>
      </c>
    </row>
    <row r="271" spans="1:37" s="35" customFormat="1" ht="81" customHeight="1">
      <c r="A271" s="11"/>
      <c r="B271" s="195"/>
      <c r="C271" s="195"/>
      <c r="D271" s="195"/>
      <c r="E271" s="195"/>
      <c r="F271" s="195"/>
      <c r="G271" s="195"/>
      <c r="H271" s="195"/>
      <c r="I271" s="195"/>
      <c r="J271" s="195"/>
      <c r="K271" s="195"/>
      <c r="L271" s="195"/>
      <c r="M271" s="195"/>
      <c r="N271" s="195"/>
      <c r="O271" s="195"/>
      <c r="P271" s="195"/>
      <c r="Q271" s="195"/>
      <c r="R271" s="195"/>
      <c r="S271" s="195">
        <v>1</v>
      </c>
      <c r="T271" s="195">
        <v>2</v>
      </c>
      <c r="U271" s="195">
        <v>5</v>
      </c>
      <c r="V271" s="195">
        <v>0</v>
      </c>
      <c r="W271" s="195">
        <v>2</v>
      </c>
      <c r="X271" s="195">
        <v>0</v>
      </c>
      <c r="Y271" s="185">
        <v>1</v>
      </c>
      <c r="Z271" s="195">
        <v>0</v>
      </c>
      <c r="AA271" s="195">
        <v>2</v>
      </c>
      <c r="AB271" s="66" t="s">
        <v>157</v>
      </c>
      <c r="AC271" s="50" t="s">
        <v>107</v>
      </c>
      <c r="AD271" s="37">
        <v>12</v>
      </c>
      <c r="AE271" s="114">
        <v>12</v>
      </c>
      <c r="AF271" s="37">
        <v>12</v>
      </c>
      <c r="AG271" s="37">
        <v>12</v>
      </c>
      <c r="AH271" s="37">
        <v>12</v>
      </c>
      <c r="AI271" s="37">
        <v>12</v>
      </c>
      <c r="AJ271" s="58">
        <f>SUM(AD271:AI271)</f>
        <v>72</v>
      </c>
      <c r="AK271" s="49">
        <v>2027</v>
      </c>
    </row>
    <row r="272" spans="1:37" s="35" customFormat="1" ht="62.25" customHeight="1">
      <c r="A272" s="11"/>
      <c r="B272" s="195"/>
      <c r="C272" s="195"/>
      <c r="D272" s="195"/>
      <c r="E272" s="195"/>
      <c r="F272" s="195"/>
      <c r="G272" s="195"/>
      <c r="H272" s="195"/>
      <c r="I272" s="195"/>
      <c r="J272" s="195"/>
      <c r="K272" s="195"/>
      <c r="L272" s="195"/>
      <c r="M272" s="195"/>
      <c r="N272" s="195"/>
      <c r="O272" s="195"/>
      <c r="P272" s="195"/>
      <c r="Q272" s="195"/>
      <c r="R272" s="195"/>
      <c r="S272" s="195">
        <v>1</v>
      </c>
      <c r="T272" s="195">
        <v>2</v>
      </c>
      <c r="U272" s="195">
        <v>5</v>
      </c>
      <c r="V272" s="195">
        <v>0</v>
      </c>
      <c r="W272" s="195">
        <v>2</v>
      </c>
      <c r="X272" s="195">
        <v>0</v>
      </c>
      <c r="Y272" s="185">
        <v>2</v>
      </c>
      <c r="Z272" s="195">
        <v>0</v>
      </c>
      <c r="AA272" s="195">
        <v>0</v>
      </c>
      <c r="AB272" s="145" t="s">
        <v>158</v>
      </c>
      <c r="AC272" s="131" t="s">
        <v>96</v>
      </c>
      <c r="AD272" s="134"/>
      <c r="AE272" s="146"/>
      <c r="AF272" s="134"/>
      <c r="AG272" s="134"/>
      <c r="AH272" s="134"/>
      <c r="AI272" s="134"/>
      <c r="AJ272" s="139"/>
      <c r="AK272" s="136"/>
    </row>
    <row r="273" spans="1:37" s="35" customFormat="1" ht="64.5" customHeight="1">
      <c r="A273" s="11"/>
      <c r="B273" s="195"/>
      <c r="C273" s="195"/>
      <c r="D273" s="195"/>
      <c r="E273" s="195"/>
      <c r="F273" s="195"/>
      <c r="G273" s="195"/>
      <c r="H273" s="195"/>
      <c r="I273" s="195"/>
      <c r="J273" s="195"/>
      <c r="K273" s="195"/>
      <c r="L273" s="195"/>
      <c r="M273" s="195"/>
      <c r="N273" s="195"/>
      <c r="O273" s="195"/>
      <c r="P273" s="195"/>
      <c r="Q273" s="195"/>
      <c r="R273" s="195"/>
      <c r="S273" s="195">
        <v>1</v>
      </c>
      <c r="T273" s="195">
        <v>2</v>
      </c>
      <c r="U273" s="195">
        <v>5</v>
      </c>
      <c r="V273" s="195">
        <v>0</v>
      </c>
      <c r="W273" s="195">
        <v>2</v>
      </c>
      <c r="X273" s="195">
        <v>0</v>
      </c>
      <c r="Y273" s="185">
        <v>2</v>
      </c>
      <c r="Z273" s="195">
        <v>0</v>
      </c>
      <c r="AA273" s="195">
        <v>1</v>
      </c>
      <c r="AB273" s="66" t="s">
        <v>159</v>
      </c>
      <c r="AC273" s="50" t="s">
        <v>106</v>
      </c>
      <c r="AD273" s="37">
        <v>1</v>
      </c>
      <c r="AE273" s="95">
        <v>1</v>
      </c>
      <c r="AF273" s="37">
        <v>1</v>
      </c>
      <c r="AG273" s="37">
        <v>1</v>
      </c>
      <c r="AH273" s="37">
        <v>1</v>
      </c>
      <c r="AI273" s="37">
        <v>1</v>
      </c>
      <c r="AJ273" s="58">
        <f>SUM(AD273:AI273)</f>
        <v>6</v>
      </c>
      <c r="AK273" s="49">
        <v>2027</v>
      </c>
    </row>
    <row r="274" spans="1:37" s="35" customFormat="1" ht="35.25" customHeight="1">
      <c r="A274" s="11"/>
      <c r="B274" s="195"/>
      <c r="C274" s="195"/>
      <c r="D274" s="195"/>
      <c r="E274" s="195"/>
      <c r="F274" s="195"/>
      <c r="G274" s="195"/>
      <c r="H274" s="195"/>
      <c r="I274" s="195"/>
      <c r="J274" s="195"/>
      <c r="K274" s="195"/>
      <c r="L274" s="195"/>
      <c r="M274" s="195"/>
      <c r="N274" s="195"/>
      <c r="O274" s="195"/>
      <c r="P274" s="195"/>
      <c r="Q274" s="195"/>
      <c r="R274" s="195"/>
      <c r="S274" s="195">
        <v>1</v>
      </c>
      <c r="T274" s="195">
        <v>2</v>
      </c>
      <c r="U274" s="195">
        <v>6</v>
      </c>
      <c r="V274" s="195">
        <v>0</v>
      </c>
      <c r="W274" s="195">
        <v>0</v>
      </c>
      <c r="X274" s="195">
        <v>0</v>
      </c>
      <c r="Y274" s="185">
        <v>0</v>
      </c>
      <c r="Z274" s="195">
        <v>0</v>
      </c>
      <c r="AA274" s="195">
        <v>0</v>
      </c>
      <c r="AB274" s="78" t="s">
        <v>111</v>
      </c>
      <c r="AC274" s="169" t="s">
        <v>96</v>
      </c>
      <c r="AD274" s="96"/>
      <c r="AE274" s="96"/>
      <c r="AF274" s="76"/>
      <c r="AG274" s="96"/>
      <c r="AH274" s="96"/>
      <c r="AI274" s="96"/>
      <c r="AJ274" s="76"/>
      <c r="AK274" s="96"/>
    </row>
    <row r="275" spans="1:37" s="35" customFormat="1" ht="77.25" customHeight="1">
      <c r="A275" s="11"/>
      <c r="B275" s="195"/>
      <c r="C275" s="195"/>
      <c r="D275" s="195"/>
      <c r="E275" s="195"/>
      <c r="F275" s="195"/>
      <c r="G275" s="195"/>
      <c r="H275" s="195"/>
      <c r="I275" s="195"/>
      <c r="J275" s="195"/>
      <c r="K275" s="195"/>
      <c r="L275" s="195"/>
      <c r="M275" s="195"/>
      <c r="N275" s="195"/>
      <c r="O275" s="195"/>
      <c r="P275" s="195"/>
      <c r="Q275" s="195"/>
      <c r="R275" s="195"/>
      <c r="S275" s="195">
        <v>1</v>
      </c>
      <c r="T275" s="195">
        <v>2</v>
      </c>
      <c r="U275" s="195">
        <v>6</v>
      </c>
      <c r="V275" s="195">
        <v>0</v>
      </c>
      <c r="W275" s="195">
        <v>1</v>
      </c>
      <c r="X275" s="195">
        <v>0</v>
      </c>
      <c r="Y275" s="185">
        <v>0</v>
      </c>
      <c r="Z275" s="195">
        <v>0</v>
      </c>
      <c r="AA275" s="195">
        <v>0</v>
      </c>
      <c r="AB275" s="127" t="s">
        <v>112</v>
      </c>
      <c r="AC275" s="144"/>
      <c r="AD275" s="129"/>
      <c r="AE275" s="129"/>
      <c r="AF275" s="170"/>
      <c r="AG275" s="129"/>
      <c r="AH275" s="129"/>
      <c r="AI275" s="129"/>
      <c r="AJ275" s="130"/>
      <c r="AK275" s="129"/>
    </row>
    <row r="276" spans="1:37" s="35" customFormat="1" ht="48.75" customHeight="1">
      <c r="A276" s="11"/>
      <c r="B276" s="195"/>
      <c r="C276" s="195"/>
      <c r="D276" s="195"/>
      <c r="E276" s="195"/>
      <c r="F276" s="195"/>
      <c r="G276" s="195"/>
      <c r="H276" s="195"/>
      <c r="I276" s="195"/>
      <c r="J276" s="195"/>
      <c r="K276" s="195"/>
      <c r="L276" s="195"/>
      <c r="M276" s="195"/>
      <c r="N276" s="195"/>
      <c r="O276" s="195"/>
      <c r="P276" s="195"/>
      <c r="Q276" s="195"/>
      <c r="R276" s="195"/>
      <c r="S276" s="195">
        <v>1</v>
      </c>
      <c r="T276" s="195">
        <v>2</v>
      </c>
      <c r="U276" s="195">
        <v>6</v>
      </c>
      <c r="V276" s="195">
        <v>0</v>
      </c>
      <c r="W276" s="195">
        <v>1</v>
      </c>
      <c r="X276" s="195">
        <v>0</v>
      </c>
      <c r="Y276" s="185">
        <v>0</v>
      </c>
      <c r="Z276" s="195">
        <v>0</v>
      </c>
      <c r="AA276" s="195">
        <v>1</v>
      </c>
      <c r="AB276" s="77" t="s">
        <v>261</v>
      </c>
      <c r="AC276" s="50" t="s">
        <v>106</v>
      </c>
      <c r="AD276" s="37">
        <v>13</v>
      </c>
      <c r="AE276" s="37">
        <v>13</v>
      </c>
      <c r="AF276" s="37">
        <v>13</v>
      </c>
      <c r="AG276" s="37">
        <v>13</v>
      </c>
      <c r="AH276" s="37">
        <v>13</v>
      </c>
      <c r="AI276" s="37">
        <v>13</v>
      </c>
      <c r="AJ276" s="58">
        <f>SUM(AD276:AI276)</f>
        <v>78</v>
      </c>
      <c r="AK276" s="37">
        <v>2027</v>
      </c>
    </row>
    <row r="277" spans="1:37" s="35" customFormat="1" ht="53.25" customHeight="1">
      <c r="A277" s="11"/>
      <c r="B277" s="195"/>
      <c r="C277" s="195"/>
      <c r="D277" s="195"/>
      <c r="E277" s="195"/>
      <c r="F277" s="195"/>
      <c r="G277" s="195"/>
      <c r="H277" s="195"/>
      <c r="I277" s="195"/>
      <c r="J277" s="195"/>
      <c r="K277" s="195"/>
      <c r="L277" s="195"/>
      <c r="M277" s="195"/>
      <c r="N277" s="195"/>
      <c r="O277" s="195"/>
      <c r="P277" s="195"/>
      <c r="Q277" s="195"/>
      <c r="R277" s="195"/>
      <c r="S277" s="195">
        <v>1</v>
      </c>
      <c r="T277" s="195">
        <v>2</v>
      </c>
      <c r="U277" s="195">
        <v>6</v>
      </c>
      <c r="V277" s="195">
        <v>0</v>
      </c>
      <c r="W277" s="195">
        <v>1</v>
      </c>
      <c r="X277" s="195">
        <v>0</v>
      </c>
      <c r="Y277" s="185">
        <v>0</v>
      </c>
      <c r="Z277" s="195">
        <v>0</v>
      </c>
      <c r="AA277" s="195">
        <v>2</v>
      </c>
      <c r="AB277" s="77" t="s">
        <v>262</v>
      </c>
      <c r="AC277" s="50" t="s">
        <v>106</v>
      </c>
      <c r="AD277" s="37">
        <v>42</v>
      </c>
      <c r="AE277" s="37">
        <v>42</v>
      </c>
      <c r="AF277" s="37">
        <v>42</v>
      </c>
      <c r="AG277" s="37">
        <v>42</v>
      </c>
      <c r="AH277" s="37">
        <v>42</v>
      </c>
      <c r="AI277" s="37">
        <v>42</v>
      </c>
      <c r="AJ277" s="58">
        <f>SUM(AD277:AI277)</f>
        <v>252</v>
      </c>
      <c r="AK277" s="49">
        <v>2027</v>
      </c>
    </row>
    <row r="278" spans="1:37" s="35" customFormat="1" ht="65.25" customHeight="1">
      <c r="A278" s="11"/>
      <c r="B278" s="195"/>
      <c r="C278" s="195"/>
      <c r="D278" s="195"/>
      <c r="E278" s="195"/>
      <c r="F278" s="195"/>
      <c r="G278" s="195"/>
      <c r="H278" s="195"/>
      <c r="I278" s="195"/>
      <c r="J278" s="195"/>
      <c r="K278" s="195"/>
      <c r="L278" s="195"/>
      <c r="M278" s="195"/>
      <c r="N278" s="195"/>
      <c r="O278" s="195"/>
      <c r="P278" s="195"/>
      <c r="Q278" s="195"/>
      <c r="R278" s="195"/>
      <c r="S278" s="195">
        <v>1</v>
      </c>
      <c r="T278" s="195">
        <v>2</v>
      </c>
      <c r="U278" s="195">
        <v>6</v>
      </c>
      <c r="V278" s="195">
        <v>0</v>
      </c>
      <c r="W278" s="195">
        <v>1</v>
      </c>
      <c r="X278" s="195">
        <v>0</v>
      </c>
      <c r="Y278" s="185">
        <v>0</v>
      </c>
      <c r="Z278" s="195">
        <v>0</v>
      </c>
      <c r="AA278" s="195">
        <v>3</v>
      </c>
      <c r="AB278" s="77" t="s">
        <v>263</v>
      </c>
      <c r="AC278" s="50" t="s">
        <v>95</v>
      </c>
      <c r="AD278" s="37">
        <v>0</v>
      </c>
      <c r="AE278" s="37">
        <v>0</v>
      </c>
      <c r="AF278" s="37">
        <v>0</v>
      </c>
      <c r="AG278" s="37">
        <v>0</v>
      </c>
      <c r="AH278" s="37">
        <v>0</v>
      </c>
      <c r="AI278" s="37">
        <v>0</v>
      </c>
      <c r="AJ278" s="58">
        <v>0</v>
      </c>
      <c r="AK278" s="49">
        <v>2027</v>
      </c>
    </row>
    <row r="279" spans="1:37" s="35" customFormat="1" ht="51" customHeight="1">
      <c r="A279" s="11"/>
      <c r="B279" s="195"/>
      <c r="C279" s="195"/>
      <c r="D279" s="195"/>
      <c r="E279" s="195"/>
      <c r="F279" s="195"/>
      <c r="G279" s="195"/>
      <c r="H279" s="195"/>
      <c r="I279" s="195"/>
      <c r="J279" s="195"/>
      <c r="K279" s="195"/>
      <c r="L279" s="195"/>
      <c r="M279" s="195"/>
      <c r="N279" s="195"/>
      <c r="O279" s="195"/>
      <c r="P279" s="195"/>
      <c r="Q279" s="195"/>
      <c r="R279" s="195"/>
      <c r="S279" s="195">
        <v>1</v>
      </c>
      <c r="T279" s="195">
        <v>2</v>
      </c>
      <c r="U279" s="195">
        <v>6</v>
      </c>
      <c r="V279" s="195">
        <v>0</v>
      </c>
      <c r="W279" s="195">
        <v>1</v>
      </c>
      <c r="X279" s="195">
        <v>0</v>
      </c>
      <c r="Y279" s="185">
        <v>1</v>
      </c>
      <c r="Z279" s="195">
        <v>0</v>
      </c>
      <c r="AA279" s="195">
        <v>0</v>
      </c>
      <c r="AB279" s="141" t="s">
        <v>113</v>
      </c>
      <c r="AC279" s="131"/>
      <c r="AD279" s="134"/>
      <c r="AE279" s="134"/>
      <c r="AF279" s="171"/>
      <c r="AG279" s="134"/>
      <c r="AH279" s="134"/>
      <c r="AI279" s="134"/>
      <c r="AJ279" s="139"/>
      <c r="AK279" s="134"/>
    </row>
    <row r="280" spans="1:37" s="35" customFormat="1" ht="48" customHeight="1">
      <c r="A280" s="11"/>
      <c r="B280" s="195"/>
      <c r="C280" s="195"/>
      <c r="D280" s="195"/>
      <c r="E280" s="195"/>
      <c r="F280" s="195"/>
      <c r="G280" s="195"/>
      <c r="H280" s="195"/>
      <c r="I280" s="195"/>
      <c r="J280" s="195"/>
      <c r="K280" s="195"/>
      <c r="L280" s="195"/>
      <c r="M280" s="195"/>
      <c r="N280" s="195"/>
      <c r="O280" s="195"/>
      <c r="P280" s="195"/>
      <c r="Q280" s="195"/>
      <c r="R280" s="195"/>
      <c r="S280" s="195">
        <v>1</v>
      </c>
      <c r="T280" s="195">
        <v>2</v>
      </c>
      <c r="U280" s="195">
        <v>6</v>
      </c>
      <c r="V280" s="195">
        <v>0</v>
      </c>
      <c r="W280" s="195">
        <v>1</v>
      </c>
      <c r="X280" s="195">
        <v>0</v>
      </c>
      <c r="Y280" s="185">
        <v>1</v>
      </c>
      <c r="Z280" s="195">
        <v>0</v>
      </c>
      <c r="AA280" s="195">
        <v>1</v>
      </c>
      <c r="AB280" s="66" t="s">
        <v>114</v>
      </c>
      <c r="AC280" s="50" t="s">
        <v>95</v>
      </c>
      <c r="AD280" s="37">
        <v>9</v>
      </c>
      <c r="AE280" s="37">
        <v>9</v>
      </c>
      <c r="AF280" s="37">
        <v>9</v>
      </c>
      <c r="AG280" s="37">
        <v>9</v>
      </c>
      <c r="AH280" s="37">
        <v>9</v>
      </c>
      <c r="AI280" s="37">
        <v>9</v>
      </c>
      <c r="AJ280" s="58">
        <f>SUM(AD280:AI280)</f>
        <v>54</v>
      </c>
      <c r="AK280" s="37">
        <v>2027</v>
      </c>
    </row>
    <row r="281" spans="1:37" s="35" customFormat="1" ht="48" customHeight="1">
      <c r="A281" s="11"/>
      <c r="B281" s="195"/>
      <c r="C281" s="195"/>
      <c r="D281" s="195"/>
      <c r="E281" s="195"/>
      <c r="F281" s="195"/>
      <c r="G281" s="195"/>
      <c r="H281" s="195"/>
      <c r="I281" s="195"/>
      <c r="J281" s="195"/>
      <c r="K281" s="195"/>
      <c r="L281" s="195"/>
      <c r="M281" s="195"/>
      <c r="N281" s="195"/>
      <c r="O281" s="195"/>
      <c r="P281" s="195"/>
      <c r="Q281" s="195"/>
      <c r="R281" s="195"/>
      <c r="S281" s="195">
        <v>1</v>
      </c>
      <c r="T281" s="195">
        <v>2</v>
      </c>
      <c r="U281" s="195">
        <v>6</v>
      </c>
      <c r="V281" s="195">
        <v>0</v>
      </c>
      <c r="W281" s="195">
        <v>1</v>
      </c>
      <c r="X281" s="195">
        <v>0</v>
      </c>
      <c r="Y281" s="185">
        <v>2</v>
      </c>
      <c r="Z281" s="195">
        <v>0</v>
      </c>
      <c r="AA281" s="195">
        <v>0</v>
      </c>
      <c r="AB281" s="145" t="s">
        <v>240</v>
      </c>
      <c r="AC281" s="131"/>
      <c r="AD281" s="134"/>
      <c r="AE281" s="134"/>
      <c r="AF281" s="134"/>
      <c r="AG281" s="134"/>
      <c r="AH281" s="134"/>
      <c r="AI281" s="134"/>
      <c r="AJ281" s="139"/>
      <c r="AK281" s="134"/>
    </row>
    <row r="282" spans="1:37" s="35" customFormat="1" ht="48" customHeight="1">
      <c r="A282" s="11"/>
      <c r="B282" s="195"/>
      <c r="C282" s="195"/>
      <c r="D282" s="195"/>
      <c r="E282" s="195"/>
      <c r="F282" s="195"/>
      <c r="G282" s="195"/>
      <c r="H282" s="195"/>
      <c r="I282" s="195"/>
      <c r="J282" s="195"/>
      <c r="K282" s="195"/>
      <c r="L282" s="195"/>
      <c r="M282" s="195"/>
      <c r="N282" s="195"/>
      <c r="O282" s="195"/>
      <c r="P282" s="195"/>
      <c r="Q282" s="195"/>
      <c r="R282" s="195"/>
      <c r="S282" s="195">
        <v>1</v>
      </c>
      <c r="T282" s="195">
        <v>2</v>
      </c>
      <c r="U282" s="195">
        <v>3</v>
      </c>
      <c r="V282" s="195">
        <v>0</v>
      </c>
      <c r="W282" s="195">
        <v>1</v>
      </c>
      <c r="X282" s="195">
        <v>0</v>
      </c>
      <c r="Y282" s="185">
        <v>2</v>
      </c>
      <c r="Z282" s="195">
        <v>0</v>
      </c>
      <c r="AA282" s="195">
        <v>1</v>
      </c>
      <c r="AB282" s="66" t="s">
        <v>241</v>
      </c>
      <c r="AC282" s="50" t="s">
        <v>95</v>
      </c>
      <c r="AD282" s="37">
        <v>24</v>
      </c>
      <c r="AE282" s="37">
        <v>24</v>
      </c>
      <c r="AF282" s="37">
        <v>24</v>
      </c>
      <c r="AG282" s="37">
        <v>24</v>
      </c>
      <c r="AH282" s="37">
        <v>24</v>
      </c>
      <c r="AI282" s="37">
        <v>24</v>
      </c>
      <c r="AJ282" s="58">
        <f>SUM(AD282:AI282)</f>
        <v>144</v>
      </c>
      <c r="AK282" s="37">
        <v>2027</v>
      </c>
    </row>
    <row r="283" spans="1:37" s="35" customFormat="1" ht="54.75" customHeight="1">
      <c r="A283" s="11"/>
      <c r="B283" s="195"/>
      <c r="C283" s="195"/>
      <c r="D283" s="195"/>
      <c r="E283" s="195"/>
      <c r="F283" s="195"/>
      <c r="G283" s="195"/>
      <c r="H283" s="195"/>
      <c r="I283" s="195"/>
      <c r="J283" s="195"/>
      <c r="K283" s="195"/>
      <c r="L283" s="195"/>
      <c r="M283" s="195"/>
      <c r="N283" s="195"/>
      <c r="O283" s="195"/>
      <c r="P283" s="195"/>
      <c r="Q283" s="195"/>
      <c r="R283" s="195"/>
      <c r="S283" s="195">
        <v>1</v>
      </c>
      <c r="T283" s="195">
        <v>2</v>
      </c>
      <c r="U283" s="195">
        <v>6</v>
      </c>
      <c r="V283" s="195">
        <v>0</v>
      </c>
      <c r="W283" s="195">
        <v>2</v>
      </c>
      <c r="X283" s="195">
        <v>0</v>
      </c>
      <c r="Y283" s="185">
        <v>0</v>
      </c>
      <c r="Z283" s="195">
        <v>0</v>
      </c>
      <c r="AA283" s="195">
        <v>0</v>
      </c>
      <c r="AB283" s="127" t="s">
        <v>115</v>
      </c>
      <c r="AC283" s="144"/>
      <c r="AD283" s="129"/>
      <c r="AE283" s="129"/>
      <c r="AF283" s="170"/>
      <c r="AG283" s="129"/>
      <c r="AH283" s="129"/>
      <c r="AI283" s="129"/>
      <c r="AJ283" s="130"/>
      <c r="AK283" s="129"/>
    </row>
    <row r="284" spans="1:37" s="35" customFormat="1" ht="46.5" customHeight="1">
      <c r="A284" s="11"/>
      <c r="B284" s="195"/>
      <c r="C284" s="195"/>
      <c r="D284" s="195"/>
      <c r="E284" s="195"/>
      <c r="F284" s="195"/>
      <c r="G284" s="195"/>
      <c r="H284" s="195"/>
      <c r="I284" s="195"/>
      <c r="J284" s="195"/>
      <c r="K284" s="195"/>
      <c r="L284" s="195"/>
      <c r="M284" s="195"/>
      <c r="N284" s="195"/>
      <c r="O284" s="195"/>
      <c r="P284" s="195"/>
      <c r="Q284" s="195"/>
      <c r="R284" s="195"/>
      <c r="S284" s="195">
        <v>1</v>
      </c>
      <c r="T284" s="195">
        <v>2</v>
      </c>
      <c r="U284" s="195">
        <v>6</v>
      </c>
      <c r="V284" s="195">
        <v>0</v>
      </c>
      <c r="W284" s="195">
        <v>2</v>
      </c>
      <c r="X284" s="195">
        <v>0</v>
      </c>
      <c r="Y284" s="185">
        <v>0</v>
      </c>
      <c r="Z284" s="195">
        <v>0</v>
      </c>
      <c r="AA284" s="195">
        <v>1</v>
      </c>
      <c r="AB284" s="79" t="s">
        <v>336</v>
      </c>
      <c r="AC284" s="50" t="s">
        <v>95</v>
      </c>
      <c r="AD284" s="37">
        <v>1</v>
      </c>
      <c r="AE284" s="37">
        <v>1</v>
      </c>
      <c r="AF284" s="37">
        <v>1</v>
      </c>
      <c r="AG284" s="37">
        <v>1</v>
      </c>
      <c r="AH284" s="37">
        <v>1</v>
      </c>
      <c r="AI284" s="37">
        <v>1</v>
      </c>
      <c r="AJ284" s="58">
        <f>SUM(AD284:AI284)</f>
        <v>6</v>
      </c>
      <c r="AK284" s="37">
        <v>2027</v>
      </c>
    </row>
    <row r="285" spans="1:37" s="35" customFormat="1" ht="65.25" customHeight="1">
      <c r="A285" s="11"/>
      <c r="B285" s="195"/>
      <c r="C285" s="195"/>
      <c r="D285" s="195"/>
      <c r="E285" s="195"/>
      <c r="F285" s="195"/>
      <c r="G285" s="195"/>
      <c r="H285" s="195"/>
      <c r="I285" s="195"/>
      <c r="J285" s="195"/>
      <c r="K285" s="195"/>
      <c r="L285" s="195"/>
      <c r="M285" s="195"/>
      <c r="N285" s="195"/>
      <c r="O285" s="195"/>
      <c r="P285" s="195"/>
      <c r="Q285" s="195"/>
      <c r="R285" s="195"/>
      <c r="S285" s="195">
        <v>1</v>
      </c>
      <c r="T285" s="195">
        <v>2</v>
      </c>
      <c r="U285" s="195">
        <v>6</v>
      </c>
      <c r="V285" s="195">
        <v>0</v>
      </c>
      <c r="W285" s="195">
        <v>2</v>
      </c>
      <c r="X285" s="195">
        <v>0</v>
      </c>
      <c r="Y285" s="185">
        <v>1</v>
      </c>
      <c r="Z285" s="195">
        <v>0</v>
      </c>
      <c r="AA285" s="195">
        <v>0</v>
      </c>
      <c r="AB285" s="167" t="s">
        <v>116</v>
      </c>
      <c r="AC285" s="172" t="s">
        <v>96</v>
      </c>
      <c r="AD285" s="134"/>
      <c r="AE285" s="168"/>
      <c r="AF285" s="171"/>
      <c r="AG285" s="134"/>
      <c r="AH285" s="134"/>
      <c r="AI285" s="134"/>
      <c r="AJ285" s="171"/>
      <c r="AK285" s="136"/>
    </row>
    <row r="286" spans="1:37" s="35" customFormat="1" ht="50.25" customHeight="1">
      <c r="A286" s="11"/>
      <c r="B286" s="195"/>
      <c r="C286" s="195"/>
      <c r="D286" s="195"/>
      <c r="E286" s="195"/>
      <c r="F286" s="195"/>
      <c r="G286" s="195"/>
      <c r="H286" s="195"/>
      <c r="I286" s="195"/>
      <c r="J286" s="195"/>
      <c r="K286" s="195"/>
      <c r="L286" s="195"/>
      <c r="M286" s="195"/>
      <c r="N286" s="195"/>
      <c r="O286" s="195"/>
      <c r="P286" s="195"/>
      <c r="Q286" s="195"/>
      <c r="R286" s="195"/>
      <c r="S286" s="195">
        <v>1</v>
      </c>
      <c r="T286" s="195">
        <v>2</v>
      </c>
      <c r="U286" s="195">
        <v>6</v>
      </c>
      <c r="V286" s="195">
        <v>0</v>
      </c>
      <c r="W286" s="195">
        <v>2</v>
      </c>
      <c r="X286" s="195">
        <v>0</v>
      </c>
      <c r="Y286" s="185">
        <v>1</v>
      </c>
      <c r="Z286" s="195">
        <v>0</v>
      </c>
      <c r="AA286" s="195">
        <v>1</v>
      </c>
      <c r="AB286" s="86" t="s">
        <v>117</v>
      </c>
      <c r="AC286" s="50" t="s">
        <v>95</v>
      </c>
      <c r="AD286" s="37">
        <v>2</v>
      </c>
      <c r="AE286" s="37">
        <v>2</v>
      </c>
      <c r="AF286" s="37">
        <v>2</v>
      </c>
      <c r="AG286" s="37">
        <v>2</v>
      </c>
      <c r="AH286" s="37">
        <v>2</v>
      </c>
      <c r="AI286" s="37">
        <v>2</v>
      </c>
      <c r="AJ286" s="58">
        <f>SUM(AD286:AI286)</f>
        <v>12</v>
      </c>
      <c r="AK286" s="49">
        <v>2027</v>
      </c>
    </row>
    <row r="287" spans="1:37" s="35" customFormat="1" ht="75.75" customHeight="1">
      <c r="A287" s="11"/>
      <c r="B287" s="195"/>
      <c r="C287" s="195"/>
      <c r="D287" s="195"/>
      <c r="E287" s="195"/>
      <c r="F287" s="195"/>
      <c r="G287" s="195"/>
      <c r="H287" s="195"/>
      <c r="I287" s="195"/>
      <c r="J287" s="195"/>
      <c r="K287" s="195"/>
      <c r="L287" s="195"/>
      <c r="M287" s="195"/>
      <c r="N287" s="195"/>
      <c r="O287" s="195"/>
      <c r="P287" s="195"/>
      <c r="Q287" s="195"/>
      <c r="R287" s="195"/>
      <c r="S287" s="195">
        <v>1</v>
      </c>
      <c r="T287" s="195">
        <v>2</v>
      </c>
      <c r="U287" s="195">
        <v>6</v>
      </c>
      <c r="V287" s="195">
        <v>0</v>
      </c>
      <c r="W287" s="195">
        <v>2</v>
      </c>
      <c r="X287" s="195">
        <v>0</v>
      </c>
      <c r="Y287" s="185">
        <v>2</v>
      </c>
      <c r="Z287" s="195">
        <v>0</v>
      </c>
      <c r="AA287" s="195">
        <v>0</v>
      </c>
      <c r="AB287" s="173" t="s">
        <v>118</v>
      </c>
      <c r="AC287" s="131"/>
      <c r="AD287" s="134"/>
      <c r="AE287" s="146"/>
      <c r="AF287" s="171"/>
      <c r="AG287" s="134"/>
      <c r="AH287" s="134"/>
      <c r="AI287" s="134"/>
      <c r="AJ287" s="139"/>
      <c r="AK287" s="136"/>
    </row>
    <row r="288" spans="1:37" s="35" customFormat="1" ht="43.5">
      <c r="A288" s="11"/>
      <c r="B288" s="195"/>
      <c r="C288" s="195"/>
      <c r="D288" s="195"/>
      <c r="E288" s="195"/>
      <c r="F288" s="195"/>
      <c r="G288" s="195"/>
      <c r="H288" s="195"/>
      <c r="I288" s="195"/>
      <c r="J288" s="195"/>
      <c r="K288" s="195"/>
      <c r="L288" s="195"/>
      <c r="M288" s="195"/>
      <c r="N288" s="195"/>
      <c r="O288" s="195"/>
      <c r="P288" s="195"/>
      <c r="Q288" s="195"/>
      <c r="R288" s="195"/>
      <c r="S288" s="195">
        <v>1</v>
      </c>
      <c r="T288" s="195">
        <v>2</v>
      </c>
      <c r="U288" s="195">
        <v>6</v>
      </c>
      <c r="V288" s="195">
        <v>0</v>
      </c>
      <c r="W288" s="195">
        <v>2</v>
      </c>
      <c r="X288" s="195">
        <v>0</v>
      </c>
      <c r="Y288" s="185">
        <v>2</v>
      </c>
      <c r="Z288" s="195">
        <v>0</v>
      </c>
      <c r="AA288" s="195">
        <v>1</v>
      </c>
      <c r="AB288" s="66" t="s">
        <v>119</v>
      </c>
      <c r="AC288" s="50" t="s">
        <v>107</v>
      </c>
      <c r="AD288" s="37">
        <v>30</v>
      </c>
      <c r="AE288" s="95">
        <v>30</v>
      </c>
      <c r="AF288" s="95">
        <v>30</v>
      </c>
      <c r="AG288" s="95">
        <v>30</v>
      </c>
      <c r="AH288" s="95">
        <v>30</v>
      </c>
      <c r="AI288" s="95">
        <v>30</v>
      </c>
      <c r="AJ288" s="58">
        <f>SUM(AD288:AI288)</f>
        <v>180</v>
      </c>
      <c r="AK288" s="49">
        <v>2027</v>
      </c>
    </row>
    <row r="289" spans="1:37" s="35" customFormat="1" ht="104.25">
      <c r="A289" s="11"/>
      <c r="B289" s="195"/>
      <c r="C289" s="195"/>
      <c r="D289" s="195"/>
      <c r="E289" s="195"/>
      <c r="F289" s="195"/>
      <c r="G289" s="195"/>
      <c r="H289" s="195"/>
      <c r="I289" s="195"/>
      <c r="J289" s="195"/>
      <c r="K289" s="195"/>
      <c r="L289" s="195"/>
      <c r="M289" s="195"/>
      <c r="N289" s="195"/>
      <c r="O289" s="195"/>
      <c r="P289" s="195"/>
      <c r="Q289" s="195"/>
      <c r="R289" s="195"/>
      <c r="S289" s="195">
        <v>1</v>
      </c>
      <c r="T289" s="195">
        <v>2</v>
      </c>
      <c r="U289" s="195">
        <v>6</v>
      </c>
      <c r="V289" s="195">
        <v>0</v>
      </c>
      <c r="W289" s="195">
        <v>2</v>
      </c>
      <c r="X289" s="195">
        <v>0</v>
      </c>
      <c r="Y289" s="185">
        <v>3</v>
      </c>
      <c r="Z289" s="195">
        <v>0</v>
      </c>
      <c r="AA289" s="195">
        <v>0</v>
      </c>
      <c r="AB289" s="145" t="s">
        <v>244</v>
      </c>
      <c r="AC289" s="131"/>
      <c r="AD289" s="134"/>
      <c r="AE289" s="157"/>
      <c r="AF289" s="157"/>
      <c r="AG289" s="157"/>
      <c r="AH289" s="157"/>
      <c r="AI289" s="157"/>
      <c r="AJ289" s="139"/>
      <c r="AK289" s="136"/>
    </row>
    <row r="290" spans="1:37" s="35" customFormat="1" ht="58.5">
      <c r="A290" s="11"/>
      <c r="B290" s="195"/>
      <c r="C290" s="195"/>
      <c r="D290" s="195"/>
      <c r="E290" s="195"/>
      <c r="F290" s="195"/>
      <c r="G290" s="195"/>
      <c r="H290" s="195"/>
      <c r="I290" s="195"/>
      <c r="J290" s="195"/>
      <c r="K290" s="195"/>
      <c r="L290" s="195"/>
      <c r="M290" s="195"/>
      <c r="N290" s="195"/>
      <c r="O290" s="195"/>
      <c r="P290" s="195"/>
      <c r="Q290" s="195"/>
      <c r="R290" s="195"/>
      <c r="S290" s="195">
        <v>1</v>
      </c>
      <c r="T290" s="195">
        <v>2</v>
      </c>
      <c r="U290" s="195">
        <v>6</v>
      </c>
      <c r="V290" s="195">
        <v>0</v>
      </c>
      <c r="W290" s="195">
        <v>2</v>
      </c>
      <c r="X290" s="195">
        <v>0</v>
      </c>
      <c r="Y290" s="185">
        <v>3</v>
      </c>
      <c r="Z290" s="195">
        <v>0</v>
      </c>
      <c r="AA290" s="195">
        <v>1</v>
      </c>
      <c r="AB290" s="66" t="s">
        <v>242</v>
      </c>
      <c r="AC290" s="50" t="s">
        <v>95</v>
      </c>
      <c r="AD290" s="37">
        <v>2</v>
      </c>
      <c r="AE290" s="95">
        <v>2</v>
      </c>
      <c r="AF290" s="95">
        <v>2</v>
      </c>
      <c r="AG290" s="95">
        <v>2</v>
      </c>
      <c r="AH290" s="95">
        <v>2</v>
      </c>
      <c r="AI290" s="95">
        <v>2</v>
      </c>
      <c r="AJ290" s="58">
        <f>SUM(AD290:AI290)</f>
        <v>12</v>
      </c>
      <c r="AK290" s="49">
        <v>2027</v>
      </c>
    </row>
    <row r="291" spans="1:37" s="35" customFormat="1" ht="45">
      <c r="A291" s="11"/>
      <c r="B291" s="195"/>
      <c r="C291" s="195"/>
      <c r="D291" s="195"/>
      <c r="E291" s="195"/>
      <c r="F291" s="195"/>
      <c r="G291" s="195"/>
      <c r="H291" s="195"/>
      <c r="I291" s="195"/>
      <c r="J291" s="195"/>
      <c r="K291" s="195"/>
      <c r="L291" s="195"/>
      <c r="M291" s="195"/>
      <c r="N291" s="195"/>
      <c r="O291" s="195"/>
      <c r="P291" s="195"/>
      <c r="Q291" s="195"/>
      <c r="R291" s="195"/>
      <c r="S291" s="195">
        <v>1</v>
      </c>
      <c r="T291" s="195">
        <v>2</v>
      </c>
      <c r="U291" s="195">
        <v>6</v>
      </c>
      <c r="V291" s="195">
        <v>0</v>
      </c>
      <c r="W291" s="195">
        <v>3</v>
      </c>
      <c r="X291" s="195">
        <v>0</v>
      </c>
      <c r="Y291" s="185">
        <v>0</v>
      </c>
      <c r="Z291" s="195">
        <v>0</v>
      </c>
      <c r="AA291" s="195">
        <v>0</v>
      </c>
      <c r="AB291" s="127" t="s">
        <v>120</v>
      </c>
      <c r="AC291" s="144"/>
      <c r="AD291" s="129"/>
      <c r="AE291" s="129"/>
      <c r="AF291" s="170"/>
      <c r="AG291" s="129"/>
      <c r="AH291" s="129"/>
      <c r="AI291" s="129"/>
      <c r="AJ291" s="130"/>
      <c r="AK291" s="129"/>
    </row>
    <row r="292" spans="1:37" s="35" customFormat="1" ht="59.25">
      <c r="A292" s="11"/>
      <c r="B292" s="195"/>
      <c r="C292" s="195"/>
      <c r="D292" s="195"/>
      <c r="E292" s="195"/>
      <c r="F292" s="195"/>
      <c r="G292" s="195"/>
      <c r="H292" s="195"/>
      <c r="I292" s="195"/>
      <c r="J292" s="195"/>
      <c r="K292" s="195"/>
      <c r="L292" s="195"/>
      <c r="M292" s="195"/>
      <c r="N292" s="195"/>
      <c r="O292" s="195"/>
      <c r="P292" s="195"/>
      <c r="Q292" s="195"/>
      <c r="R292" s="195"/>
      <c r="S292" s="195">
        <v>1</v>
      </c>
      <c r="T292" s="195">
        <v>2</v>
      </c>
      <c r="U292" s="195">
        <v>6</v>
      </c>
      <c r="V292" s="195">
        <v>0</v>
      </c>
      <c r="W292" s="195">
        <v>3</v>
      </c>
      <c r="X292" s="195">
        <v>0</v>
      </c>
      <c r="Y292" s="185">
        <v>0</v>
      </c>
      <c r="Z292" s="195">
        <v>0</v>
      </c>
      <c r="AA292" s="195">
        <v>1</v>
      </c>
      <c r="AB292" s="79" t="s">
        <v>337</v>
      </c>
      <c r="AC292" s="50" t="s">
        <v>107</v>
      </c>
      <c r="AD292" s="37">
        <v>6</v>
      </c>
      <c r="AE292" s="37">
        <v>6</v>
      </c>
      <c r="AF292" s="37">
        <v>6</v>
      </c>
      <c r="AG292" s="37">
        <v>6</v>
      </c>
      <c r="AH292" s="37">
        <v>6</v>
      </c>
      <c r="AI292" s="37">
        <v>6</v>
      </c>
      <c r="AJ292" s="58">
        <f>SUM(AD292:AI292)</f>
        <v>36</v>
      </c>
      <c r="AK292" s="37">
        <v>2027</v>
      </c>
    </row>
    <row r="293" spans="1:37" s="35" customFormat="1" ht="60">
      <c r="A293" s="45"/>
      <c r="B293" s="195"/>
      <c r="C293" s="195"/>
      <c r="D293" s="195"/>
      <c r="E293" s="195"/>
      <c r="F293" s="195"/>
      <c r="G293" s="195"/>
      <c r="H293" s="195"/>
      <c r="I293" s="195"/>
      <c r="J293" s="195"/>
      <c r="K293" s="195"/>
      <c r="L293" s="195"/>
      <c r="M293" s="195"/>
      <c r="N293" s="195"/>
      <c r="O293" s="195"/>
      <c r="P293" s="195"/>
      <c r="Q293" s="195"/>
      <c r="R293" s="195"/>
      <c r="S293" s="195">
        <v>1</v>
      </c>
      <c r="T293" s="195">
        <v>2</v>
      </c>
      <c r="U293" s="195">
        <v>6</v>
      </c>
      <c r="V293" s="195">
        <v>0</v>
      </c>
      <c r="W293" s="195">
        <v>3</v>
      </c>
      <c r="X293" s="195">
        <v>0</v>
      </c>
      <c r="Y293" s="185">
        <v>0</v>
      </c>
      <c r="Z293" s="195">
        <v>0</v>
      </c>
      <c r="AA293" s="195">
        <v>2</v>
      </c>
      <c r="AB293" s="79" t="s">
        <v>338</v>
      </c>
      <c r="AC293" s="50" t="s">
        <v>107</v>
      </c>
      <c r="AD293" s="37">
        <v>13</v>
      </c>
      <c r="AE293" s="37">
        <v>13</v>
      </c>
      <c r="AF293" s="37">
        <v>13</v>
      </c>
      <c r="AG293" s="37">
        <v>13</v>
      </c>
      <c r="AH293" s="37">
        <v>13</v>
      </c>
      <c r="AI293" s="37">
        <v>13</v>
      </c>
      <c r="AJ293" s="58">
        <f>SUM(AD293:AI293)</f>
        <v>78</v>
      </c>
      <c r="AK293" s="37">
        <v>2027</v>
      </c>
    </row>
    <row r="294" spans="1:37" s="35" customFormat="1" ht="60">
      <c r="A294" s="11"/>
      <c r="B294" s="195"/>
      <c r="C294" s="195"/>
      <c r="D294" s="195"/>
      <c r="E294" s="195"/>
      <c r="F294" s="195"/>
      <c r="G294" s="195"/>
      <c r="H294" s="195"/>
      <c r="I294" s="195"/>
      <c r="J294" s="195"/>
      <c r="K294" s="195"/>
      <c r="L294" s="195"/>
      <c r="M294" s="195"/>
      <c r="N294" s="195"/>
      <c r="O294" s="195"/>
      <c r="P294" s="195"/>
      <c r="Q294" s="195"/>
      <c r="R294" s="195"/>
      <c r="S294" s="195">
        <v>1</v>
      </c>
      <c r="T294" s="195">
        <v>2</v>
      </c>
      <c r="U294" s="195">
        <v>6</v>
      </c>
      <c r="V294" s="195">
        <v>0</v>
      </c>
      <c r="W294" s="195">
        <v>3</v>
      </c>
      <c r="X294" s="195">
        <v>0</v>
      </c>
      <c r="Y294" s="185">
        <v>1</v>
      </c>
      <c r="Z294" s="195">
        <v>0</v>
      </c>
      <c r="AA294" s="195">
        <v>0</v>
      </c>
      <c r="AB294" s="167" t="s">
        <v>121</v>
      </c>
      <c r="AC294" s="172" t="s">
        <v>96</v>
      </c>
      <c r="AD294" s="134"/>
      <c r="AE294" s="168"/>
      <c r="AF294" s="162"/>
      <c r="AG294" s="134"/>
      <c r="AH294" s="134"/>
      <c r="AI294" s="134"/>
      <c r="AJ294" s="171"/>
      <c r="AK294" s="136"/>
    </row>
    <row r="295" spans="1:37" s="35" customFormat="1" ht="44.25">
      <c r="A295" s="11"/>
      <c r="B295" s="195"/>
      <c r="C295" s="195"/>
      <c r="D295" s="195"/>
      <c r="E295" s="195"/>
      <c r="F295" s="195"/>
      <c r="G295" s="195"/>
      <c r="H295" s="195"/>
      <c r="I295" s="195"/>
      <c r="J295" s="195"/>
      <c r="K295" s="195"/>
      <c r="L295" s="195"/>
      <c r="M295" s="195"/>
      <c r="N295" s="195"/>
      <c r="O295" s="195"/>
      <c r="P295" s="195"/>
      <c r="Q295" s="195"/>
      <c r="R295" s="195"/>
      <c r="S295" s="195">
        <v>1</v>
      </c>
      <c r="T295" s="195">
        <v>2</v>
      </c>
      <c r="U295" s="195">
        <v>6</v>
      </c>
      <c r="V295" s="195">
        <v>0</v>
      </c>
      <c r="W295" s="195">
        <v>3</v>
      </c>
      <c r="X295" s="195">
        <v>0</v>
      </c>
      <c r="Y295" s="185">
        <v>1</v>
      </c>
      <c r="Z295" s="195">
        <v>0</v>
      </c>
      <c r="AA295" s="195">
        <v>1</v>
      </c>
      <c r="AB295" s="86" t="s">
        <v>122</v>
      </c>
      <c r="AC295" s="50" t="s">
        <v>107</v>
      </c>
      <c r="AD295" s="37">
        <v>6</v>
      </c>
      <c r="AE295" s="110">
        <v>6</v>
      </c>
      <c r="AF295" s="110">
        <v>6</v>
      </c>
      <c r="AG295" s="37">
        <v>6</v>
      </c>
      <c r="AH295" s="37">
        <v>6</v>
      </c>
      <c r="AI295" s="37">
        <v>6</v>
      </c>
      <c r="AJ295" s="58">
        <f>SUM(AD295:AI295)</f>
        <v>36</v>
      </c>
      <c r="AK295" s="49">
        <v>2027</v>
      </c>
    </row>
    <row r="296" spans="1:37" s="35" customFormat="1" ht="29.25">
      <c r="A296" s="11"/>
      <c r="B296" s="195"/>
      <c r="C296" s="195"/>
      <c r="D296" s="195"/>
      <c r="E296" s="195"/>
      <c r="F296" s="195"/>
      <c r="G296" s="195"/>
      <c r="H296" s="195"/>
      <c r="I296" s="195"/>
      <c r="J296" s="195"/>
      <c r="K296" s="195"/>
      <c r="L296" s="195"/>
      <c r="M296" s="195"/>
      <c r="N296" s="195"/>
      <c r="O296" s="195"/>
      <c r="P296" s="195"/>
      <c r="Q296" s="195"/>
      <c r="R296" s="195"/>
      <c r="S296" s="195">
        <v>1</v>
      </c>
      <c r="T296" s="195">
        <v>2</v>
      </c>
      <c r="U296" s="195">
        <v>6</v>
      </c>
      <c r="V296" s="195">
        <v>0</v>
      </c>
      <c r="W296" s="195">
        <v>3</v>
      </c>
      <c r="X296" s="195">
        <v>0</v>
      </c>
      <c r="Y296" s="185">
        <v>2</v>
      </c>
      <c r="Z296" s="195">
        <v>0</v>
      </c>
      <c r="AA296" s="195">
        <v>0</v>
      </c>
      <c r="AB296" s="173" t="s">
        <v>212</v>
      </c>
      <c r="AC296" s="131"/>
      <c r="AD296" s="134"/>
      <c r="AE296" s="146"/>
      <c r="AF296" s="171"/>
      <c r="AG296" s="134"/>
      <c r="AH296" s="134"/>
      <c r="AI296" s="134"/>
      <c r="AJ296" s="139"/>
      <c r="AK296" s="136"/>
    </row>
    <row r="297" spans="1:85" ht="59.25">
      <c r="A297" s="30"/>
      <c r="B297" s="195"/>
      <c r="C297" s="195"/>
      <c r="D297" s="195"/>
      <c r="E297" s="195"/>
      <c r="F297" s="195"/>
      <c r="G297" s="195"/>
      <c r="H297" s="195"/>
      <c r="I297" s="195"/>
      <c r="J297" s="195"/>
      <c r="K297" s="195"/>
      <c r="L297" s="195"/>
      <c r="M297" s="195"/>
      <c r="N297" s="195"/>
      <c r="O297" s="195"/>
      <c r="P297" s="195"/>
      <c r="Q297" s="195"/>
      <c r="R297" s="195"/>
      <c r="S297" s="195">
        <v>1</v>
      </c>
      <c r="T297" s="195">
        <v>2</v>
      </c>
      <c r="U297" s="195">
        <v>6</v>
      </c>
      <c r="V297" s="195">
        <v>0</v>
      </c>
      <c r="W297" s="195">
        <v>3</v>
      </c>
      <c r="X297" s="195">
        <v>0</v>
      </c>
      <c r="Y297" s="185">
        <v>2</v>
      </c>
      <c r="Z297" s="195">
        <v>0</v>
      </c>
      <c r="AA297" s="195">
        <v>1</v>
      </c>
      <c r="AB297" s="66" t="s">
        <v>123</v>
      </c>
      <c r="AC297" s="50" t="s">
        <v>107</v>
      </c>
      <c r="AD297" s="37">
        <v>6</v>
      </c>
      <c r="AE297" s="95">
        <v>6</v>
      </c>
      <c r="AF297" s="95">
        <v>6</v>
      </c>
      <c r="AG297" s="37">
        <v>6</v>
      </c>
      <c r="AH297" s="37">
        <v>6</v>
      </c>
      <c r="AI297" s="37">
        <v>6</v>
      </c>
      <c r="AJ297" s="58">
        <f>SUM(AD297:AI297)</f>
        <v>36</v>
      </c>
      <c r="AK297" s="49">
        <v>2027</v>
      </c>
      <c r="AL297" s="35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  <c r="BA297"/>
      <c r="BB297"/>
      <c r="BC297"/>
      <c r="BD297"/>
      <c r="BE297"/>
      <c r="BF297"/>
      <c r="BG297"/>
      <c r="BH297"/>
      <c r="BI297"/>
      <c r="BJ297"/>
      <c r="BK297"/>
      <c r="BL297"/>
      <c r="BM297"/>
      <c r="BN297"/>
      <c r="BO297"/>
      <c r="BP297"/>
      <c r="BQ297"/>
      <c r="BR297"/>
      <c r="BS297"/>
      <c r="BT297"/>
      <c r="BU297"/>
      <c r="BV297"/>
      <c r="BW297"/>
      <c r="BX297"/>
      <c r="BY297"/>
      <c r="BZ297"/>
      <c r="CA297"/>
      <c r="CB297"/>
      <c r="CC297"/>
      <c r="CD297"/>
      <c r="CE297"/>
      <c r="CF297"/>
      <c r="CG297"/>
    </row>
    <row r="298" spans="1:85" ht="45">
      <c r="A298" s="30"/>
      <c r="B298" s="195"/>
      <c r="C298" s="195"/>
      <c r="D298" s="195"/>
      <c r="E298" s="195"/>
      <c r="F298" s="195"/>
      <c r="G298" s="195"/>
      <c r="H298" s="195"/>
      <c r="I298" s="195"/>
      <c r="J298" s="195"/>
      <c r="K298" s="195"/>
      <c r="L298" s="195"/>
      <c r="M298" s="195"/>
      <c r="N298" s="195"/>
      <c r="O298" s="195"/>
      <c r="P298" s="195"/>
      <c r="Q298" s="195"/>
      <c r="R298" s="195"/>
      <c r="S298" s="195">
        <v>1</v>
      </c>
      <c r="T298" s="195">
        <v>2</v>
      </c>
      <c r="U298" s="195">
        <v>6</v>
      </c>
      <c r="V298" s="195">
        <v>0</v>
      </c>
      <c r="W298" s="195">
        <v>4</v>
      </c>
      <c r="X298" s="195">
        <v>0</v>
      </c>
      <c r="Y298" s="185">
        <v>0</v>
      </c>
      <c r="Z298" s="195">
        <v>0</v>
      </c>
      <c r="AA298" s="195">
        <v>0</v>
      </c>
      <c r="AB298" s="127" t="s">
        <v>124</v>
      </c>
      <c r="AC298" s="144"/>
      <c r="AD298" s="129"/>
      <c r="AE298" s="129"/>
      <c r="AF298" s="129"/>
      <c r="AG298" s="129"/>
      <c r="AH298" s="129"/>
      <c r="AI298" s="129"/>
      <c r="AJ298" s="130"/>
      <c r="AK298" s="129"/>
      <c r="AL298" s="35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  <c r="BB298"/>
      <c r="BC298"/>
      <c r="BD298"/>
      <c r="BE298"/>
      <c r="BF298"/>
      <c r="BG298"/>
      <c r="BH298"/>
      <c r="BI298"/>
      <c r="BJ298"/>
      <c r="BK298"/>
      <c r="BL298"/>
      <c r="BM298"/>
      <c r="BN298"/>
      <c r="BO298"/>
      <c r="BP298"/>
      <c r="BQ298"/>
      <c r="BR298"/>
      <c r="BS298"/>
      <c r="BT298"/>
      <c r="BU298"/>
      <c r="BV298"/>
      <c r="BW298"/>
      <c r="BX298"/>
      <c r="BY298"/>
      <c r="BZ298"/>
      <c r="CA298"/>
      <c r="CB298"/>
      <c r="CC298"/>
      <c r="CD298"/>
      <c r="CE298"/>
      <c r="CF298"/>
      <c r="CG298"/>
    </row>
    <row r="299" spans="1:85" ht="30.75" customHeight="1">
      <c r="A299" s="30"/>
      <c r="B299" s="195"/>
      <c r="C299" s="195"/>
      <c r="D299" s="195"/>
      <c r="E299" s="195"/>
      <c r="F299" s="195"/>
      <c r="G299" s="195"/>
      <c r="H299" s="195"/>
      <c r="I299" s="195"/>
      <c r="J299" s="195"/>
      <c r="K299" s="195"/>
      <c r="L299" s="195"/>
      <c r="M299" s="195"/>
      <c r="N299" s="195"/>
      <c r="O299" s="195"/>
      <c r="P299" s="195"/>
      <c r="Q299" s="195"/>
      <c r="R299" s="195"/>
      <c r="S299" s="195">
        <v>1</v>
      </c>
      <c r="T299" s="195">
        <v>2</v>
      </c>
      <c r="U299" s="195">
        <v>6</v>
      </c>
      <c r="V299" s="195">
        <v>0</v>
      </c>
      <c r="W299" s="195">
        <v>4</v>
      </c>
      <c r="X299" s="195">
        <v>0</v>
      </c>
      <c r="Y299" s="185">
        <v>0</v>
      </c>
      <c r="Z299" s="195">
        <v>0</v>
      </c>
      <c r="AA299" s="195">
        <v>1</v>
      </c>
      <c r="AB299" s="77" t="s">
        <v>339</v>
      </c>
      <c r="AC299" s="50" t="s">
        <v>95</v>
      </c>
      <c r="AD299" s="37">
        <v>15</v>
      </c>
      <c r="AE299" s="37">
        <v>15</v>
      </c>
      <c r="AF299" s="37">
        <v>15</v>
      </c>
      <c r="AG299" s="37">
        <v>15</v>
      </c>
      <c r="AH299" s="37">
        <v>15</v>
      </c>
      <c r="AI299" s="37">
        <v>15</v>
      </c>
      <c r="AJ299" s="58">
        <f>SUM(AD299:AI299)</f>
        <v>90</v>
      </c>
      <c r="AK299" s="37">
        <v>2027</v>
      </c>
      <c r="AL299" s="35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  <c r="BB299"/>
      <c r="BC299"/>
      <c r="BD299"/>
      <c r="BE299"/>
      <c r="BF299"/>
      <c r="BG299"/>
      <c r="BH299"/>
      <c r="BI299"/>
      <c r="BJ299"/>
      <c r="BK299"/>
      <c r="BL299"/>
      <c r="BM299"/>
      <c r="BN299"/>
      <c r="BO299"/>
      <c r="BP299"/>
      <c r="BQ299"/>
      <c r="BR299"/>
      <c r="BS299"/>
      <c r="BT299"/>
      <c r="BU299"/>
      <c r="BV299"/>
      <c r="BW299"/>
      <c r="BX299"/>
      <c r="BY299"/>
      <c r="BZ299"/>
      <c r="CA299"/>
      <c r="CB299"/>
      <c r="CC299"/>
      <c r="CD299"/>
      <c r="CE299"/>
      <c r="CF299"/>
      <c r="CG299"/>
    </row>
    <row r="300" spans="1:85" ht="60.75" customHeight="1">
      <c r="A300" s="30"/>
      <c r="B300" s="195"/>
      <c r="C300" s="195"/>
      <c r="D300" s="195"/>
      <c r="E300" s="195"/>
      <c r="F300" s="195"/>
      <c r="G300" s="195"/>
      <c r="H300" s="195"/>
      <c r="I300" s="195"/>
      <c r="J300" s="195"/>
      <c r="K300" s="195"/>
      <c r="L300" s="195"/>
      <c r="M300" s="195"/>
      <c r="N300" s="195"/>
      <c r="O300" s="195"/>
      <c r="P300" s="195"/>
      <c r="Q300" s="195"/>
      <c r="R300" s="195"/>
      <c r="S300" s="195">
        <v>1</v>
      </c>
      <c r="T300" s="195">
        <v>2</v>
      </c>
      <c r="U300" s="195">
        <v>6</v>
      </c>
      <c r="V300" s="195">
        <v>0</v>
      </c>
      <c r="W300" s="195">
        <v>4</v>
      </c>
      <c r="X300" s="195">
        <v>0</v>
      </c>
      <c r="Y300" s="185">
        <v>0</v>
      </c>
      <c r="Z300" s="195">
        <v>0</v>
      </c>
      <c r="AA300" s="195">
        <v>2</v>
      </c>
      <c r="AB300" s="79" t="s">
        <v>340</v>
      </c>
      <c r="AC300" s="50" t="s">
        <v>95</v>
      </c>
      <c r="AD300" s="37">
        <v>13</v>
      </c>
      <c r="AE300" s="37">
        <v>13</v>
      </c>
      <c r="AF300" s="37">
        <v>13</v>
      </c>
      <c r="AG300" s="37">
        <v>13</v>
      </c>
      <c r="AH300" s="37">
        <v>13</v>
      </c>
      <c r="AI300" s="37">
        <v>13</v>
      </c>
      <c r="AJ300" s="58">
        <f>SUM(AD300:AI300)</f>
        <v>78</v>
      </c>
      <c r="AK300" s="37">
        <v>2027</v>
      </c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  <c r="BE300"/>
      <c r="BF300"/>
      <c r="BG300"/>
      <c r="BH300"/>
      <c r="BI300"/>
      <c r="BJ300"/>
      <c r="BK300"/>
      <c r="BL300"/>
      <c r="BM300"/>
      <c r="BN300"/>
      <c r="BO300"/>
      <c r="BP300"/>
      <c r="BQ300"/>
      <c r="BR300"/>
      <c r="BS300"/>
      <c r="BT300"/>
      <c r="BU300"/>
      <c r="BV300"/>
      <c r="BW300"/>
      <c r="BX300"/>
      <c r="BY300"/>
      <c r="BZ300"/>
      <c r="CA300"/>
      <c r="CB300"/>
      <c r="CC300"/>
      <c r="CD300"/>
      <c r="CE300"/>
      <c r="CF300"/>
      <c r="CG300"/>
    </row>
    <row r="301" spans="1:85" ht="44.25">
      <c r="A301" s="30"/>
      <c r="B301" s="195"/>
      <c r="C301" s="195"/>
      <c r="D301" s="195"/>
      <c r="E301" s="195"/>
      <c r="F301" s="195"/>
      <c r="G301" s="195"/>
      <c r="H301" s="195"/>
      <c r="I301" s="195"/>
      <c r="J301" s="195"/>
      <c r="K301" s="195"/>
      <c r="L301" s="195"/>
      <c r="M301" s="195"/>
      <c r="N301" s="195"/>
      <c r="O301" s="195"/>
      <c r="P301" s="195"/>
      <c r="Q301" s="195"/>
      <c r="R301" s="195"/>
      <c r="S301" s="195">
        <v>1</v>
      </c>
      <c r="T301" s="195">
        <v>2</v>
      </c>
      <c r="U301" s="195">
        <v>6</v>
      </c>
      <c r="V301" s="195">
        <v>0</v>
      </c>
      <c r="W301" s="195">
        <v>4</v>
      </c>
      <c r="X301" s="195">
        <v>0</v>
      </c>
      <c r="Y301" s="185">
        <v>0</v>
      </c>
      <c r="Z301" s="195">
        <v>0</v>
      </c>
      <c r="AA301" s="195">
        <v>3</v>
      </c>
      <c r="AB301" s="79" t="s">
        <v>341</v>
      </c>
      <c r="AC301" s="50" t="s">
        <v>95</v>
      </c>
      <c r="AD301" s="37">
        <v>2</v>
      </c>
      <c r="AE301" s="37">
        <v>2</v>
      </c>
      <c r="AF301" s="37">
        <v>2</v>
      </c>
      <c r="AG301" s="37">
        <v>2</v>
      </c>
      <c r="AH301" s="37">
        <v>2</v>
      </c>
      <c r="AI301" s="37">
        <v>2</v>
      </c>
      <c r="AJ301" s="58">
        <f>SUM(AD301:AI301)</f>
        <v>12</v>
      </c>
      <c r="AK301" s="37">
        <v>2027</v>
      </c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  <c r="BB301"/>
      <c r="BC301"/>
      <c r="BD301"/>
      <c r="BE301"/>
      <c r="BF301"/>
      <c r="BG301"/>
      <c r="BH301"/>
      <c r="BI301"/>
      <c r="BJ301"/>
      <c r="BK301"/>
      <c r="BL301"/>
      <c r="BM301"/>
      <c r="BN301"/>
      <c r="BO301"/>
      <c r="BP301"/>
      <c r="BQ301"/>
      <c r="BR301"/>
      <c r="BS301"/>
      <c r="BT301"/>
      <c r="BU301"/>
      <c r="BV301"/>
      <c r="BW301"/>
      <c r="BX301"/>
      <c r="BY301"/>
      <c r="BZ301"/>
      <c r="CA301"/>
      <c r="CB301"/>
      <c r="CC301"/>
      <c r="CD301"/>
      <c r="CE301"/>
      <c r="CF301"/>
      <c r="CG301"/>
    </row>
    <row r="302" spans="1:85" ht="45">
      <c r="A302" s="30"/>
      <c r="B302" s="195"/>
      <c r="C302" s="195"/>
      <c r="D302" s="195"/>
      <c r="E302" s="195"/>
      <c r="F302" s="195"/>
      <c r="G302" s="195"/>
      <c r="H302" s="195"/>
      <c r="I302" s="195"/>
      <c r="J302" s="195"/>
      <c r="K302" s="195"/>
      <c r="L302" s="195"/>
      <c r="M302" s="195"/>
      <c r="N302" s="195"/>
      <c r="O302" s="195"/>
      <c r="P302" s="195"/>
      <c r="Q302" s="195"/>
      <c r="R302" s="195"/>
      <c r="S302" s="195">
        <v>1</v>
      </c>
      <c r="T302" s="195">
        <v>2</v>
      </c>
      <c r="U302" s="195">
        <v>6</v>
      </c>
      <c r="V302" s="195">
        <v>0</v>
      </c>
      <c r="W302" s="195">
        <v>4</v>
      </c>
      <c r="X302" s="195">
        <v>0</v>
      </c>
      <c r="Y302" s="185">
        <v>1</v>
      </c>
      <c r="Z302" s="195">
        <v>0</v>
      </c>
      <c r="AA302" s="195">
        <v>0</v>
      </c>
      <c r="AB302" s="167" t="s">
        <v>125</v>
      </c>
      <c r="AC302" s="131"/>
      <c r="AD302" s="134"/>
      <c r="AE302" s="168"/>
      <c r="AF302" s="171"/>
      <c r="AG302" s="134"/>
      <c r="AH302" s="134"/>
      <c r="AI302" s="134"/>
      <c r="AJ302" s="147"/>
      <c r="AK302" s="136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  <c r="AZ302"/>
      <c r="BA302"/>
      <c r="BB302"/>
      <c r="BC302"/>
      <c r="BD302"/>
      <c r="BE302"/>
      <c r="BF302"/>
      <c r="BG302"/>
      <c r="BH302"/>
      <c r="BI302"/>
      <c r="BJ302"/>
      <c r="BK302"/>
      <c r="BL302"/>
      <c r="BM302"/>
      <c r="BN302"/>
      <c r="BO302"/>
      <c r="BP302"/>
      <c r="BQ302"/>
      <c r="BR302"/>
      <c r="BS302"/>
      <c r="BT302"/>
      <c r="BU302"/>
      <c r="BV302"/>
      <c r="BW302"/>
      <c r="BX302"/>
      <c r="BY302"/>
      <c r="BZ302"/>
      <c r="CA302"/>
      <c r="CB302"/>
      <c r="CC302"/>
      <c r="CD302"/>
      <c r="CE302"/>
      <c r="CF302"/>
      <c r="CG302"/>
    </row>
    <row r="303" spans="1:85" ht="48.75" customHeight="1">
      <c r="A303" s="30"/>
      <c r="B303" s="195"/>
      <c r="C303" s="195"/>
      <c r="D303" s="195"/>
      <c r="E303" s="195"/>
      <c r="F303" s="195"/>
      <c r="G303" s="195"/>
      <c r="H303" s="195"/>
      <c r="I303" s="195"/>
      <c r="J303" s="195"/>
      <c r="K303" s="195"/>
      <c r="L303" s="195"/>
      <c r="M303" s="195"/>
      <c r="N303" s="195"/>
      <c r="O303" s="195"/>
      <c r="P303" s="195"/>
      <c r="Q303" s="195"/>
      <c r="R303" s="195"/>
      <c r="S303" s="195">
        <v>1</v>
      </c>
      <c r="T303" s="195">
        <v>2</v>
      </c>
      <c r="U303" s="195">
        <v>6</v>
      </c>
      <c r="V303" s="195">
        <v>0</v>
      </c>
      <c r="W303" s="195">
        <v>4</v>
      </c>
      <c r="X303" s="195">
        <v>0</v>
      </c>
      <c r="Y303" s="185">
        <v>1</v>
      </c>
      <c r="Z303" s="195">
        <v>0</v>
      </c>
      <c r="AA303" s="195">
        <v>1</v>
      </c>
      <c r="AB303" s="86" t="s">
        <v>126</v>
      </c>
      <c r="AC303" s="50" t="s">
        <v>95</v>
      </c>
      <c r="AD303" s="37">
        <v>3</v>
      </c>
      <c r="AE303" s="110">
        <v>3</v>
      </c>
      <c r="AF303" s="115">
        <v>3</v>
      </c>
      <c r="AG303" s="115">
        <v>3</v>
      </c>
      <c r="AH303" s="115">
        <v>3</v>
      </c>
      <c r="AI303" s="115">
        <v>3</v>
      </c>
      <c r="AJ303" s="58">
        <f>SUM(AD303:AI303)</f>
        <v>18</v>
      </c>
      <c r="AK303" s="49">
        <v>2027</v>
      </c>
      <c r="AM303"/>
      <c r="AN303"/>
      <c r="AO303"/>
      <c r="AP303"/>
      <c r="AQ303"/>
      <c r="AR303"/>
      <c r="AS303"/>
      <c r="AT303"/>
      <c r="AU303"/>
      <c r="AV303"/>
      <c r="AW303"/>
      <c r="AX303"/>
      <c r="AY303"/>
      <c r="AZ303"/>
      <c r="BA303"/>
      <c r="BB303"/>
      <c r="BC303"/>
      <c r="BD303"/>
      <c r="BE303"/>
      <c r="BF303"/>
      <c r="BG303"/>
      <c r="BH303"/>
      <c r="BI303"/>
      <c r="BJ303"/>
      <c r="BK303"/>
      <c r="BL303"/>
      <c r="BM303"/>
      <c r="BN303"/>
      <c r="BO303"/>
      <c r="BP303"/>
      <c r="BQ303"/>
      <c r="BR303"/>
      <c r="BS303"/>
      <c r="BT303"/>
      <c r="BU303"/>
      <c r="BV303"/>
      <c r="BW303"/>
      <c r="BX303"/>
      <c r="BY303"/>
      <c r="BZ303"/>
      <c r="CA303"/>
      <c r="CB303"/>
      <c r="CC303"/>
      <c r="CD303"/>
      <c r="CE303"/>
      <c r="CF303"/>
      <c r="CG303"/>
    </row>
    <row r="304" spans="1:85" ht="59.25">
      <c r="A304" s="30"/>
      <c r="B304" s="195"/>
      <c r="C304" s="195"/>
      <c r="D304" s="195"/>
      <c r="E304" s="195"/>
      <c r="F304" s="195"/>
      <c r="G304" s="195"/>
      <c r="H304" s="195"/>
      <c r="I304" s="195"/>
      <c r="J304" s="195"/>
      <c r="K304" s="195"/>
      <c r="L304" s="195"/>
      <c r="M304" s="195"/>
      <c r="N304" s="195"/>
      <c r="O304" s="195"/>
      <c r="P304" s="195"/>
      <c r="Q304" s="195"/>
      <c r="R304" s="195"/>
      <c r="S304" s="195">
        <v>1</v>
      </c>
      <c r="T304" s="195">
        <v>2</v>
      </c>
      <c r="U304" s="195">
        <v>6</v>
      </c>
      <c r="V304" s="195">
        <v>0</v>
      </c>
      <c r="W304" s="195">
        <v>4</v>
      </c>
      <c r="X304" s="195">
        <v>0</v>
      </c>
      <c r="Y304" s="185">
        <v>2</v>
      </c>
      <c r="Z304" s="195">
        <v>0</v>
      </c>
      <c r="AA304" s="195">
        <v>0</v>
      </c>
      <c r="AB304" s="173" t="s">
        <v>127</v>
      </c>
      <c r="AC304" s="131"/>
      <c r="AD304" s="134"/>
      <c r="AE304" s="146"/>
      <c r="AF304" s="171"/>
      <c r="AG304" s="134"/>
      <c r="AH304" s="134"/>
      <c r="AI304" s="134"/>
      <c r="AJ304" s="139"/>
      <c r="AK304" s="136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  <c r="AZ304"/>
      <c r="BA304"/>
      <c r="BB304"/>
      <c r="BC304"/>
      <c r="BD304"/>
      <c r="BE304"/>
      <c r="BF304"/>
      <c r="BG304"/>
      <c r="BH304"/>
      <c r="BI304"/>
      <c r="BJ304"/>
      <c r="BK304"/>
      <c r="BL304"/>
      <c r="BM304"/>
      <c r="BN304"/>
      <c r="BO304"/>
      <c r="BP304"/>
      <c r="BQ304"/>
      <c r="BR304"/>
      <c r="BS304"/>
      <c r="BT304"/>
      <c r="BU304"/>
      <c r="BV304"/>
      <c r="BW304"/>
      <c r="BX304"/>
      <c r="BY304"/>
      <c r="BZ304"/>
      <c r="CA304"/>
      <c r="CB304"/>
      <c r="CC304"/>
      <c r="CD304"/>
      <c r="CE304"/>
      <c r="CF304"/>
      <c r="CG304"/>
    </row>
    <row r="305" spans="1:85" ht="44.25" customHeight="1">
      <c r="A305" s="30"/>
      <c r="B305" s="195"/>
      <c r="C305" s="195"/>
      <c r="D305" s="195"/>
      <c r="E305" s="195"/>
      <c r="F305" s="195"/>
      <c r="G305" s="195"/>
      <c r="H305" s="195"/>
      <c r="I305" s="195"/>
      <c r="J305" s="195"/>
      <c r="K305" s="195"/>
      <c r="L305" s="195"/>
      <c r="M305" s="195"/>
      <c r="N305" s="195"/>
      <c r="O305" s="195"/>
      <c r="P305" s="195"/>
      <c r="Q305" s="195"/>
      <c r="R305" s="195"/>
      <c r="S305" s="195">
        <v>1</v>
      </c>
      <c r="T305" s="195">
        <v>2</v>
      </c>
      <c r="U305" s="195">
        <v>6</v>
      </c>
      <c r="V305" s="195">
        <v>0</v>
      </c>
      <c r="W305" s="195">
        <v>4</v>
      </c>
      <c r="X305" s="195">
        <v>0</v>
      </c>
      <c r="Y305" s="185">
        <v>2</v>
      </c>
      <c r="Z305" s="195">
        <v>0</v>
      </c>
      <c r="AA305" s="195">
        <v>1</v>
      </c>
      <c r="AB305" s="66" t="s">
        <v>128</v>
      </c>
      <c r="AC305" s="50" t="s">
        <v>95</v>
      </c>
      <c r="AD305" s="37">
        <v>60</v>
      </c>
      <c r="AE305" s="95">
        <v>60</v>
      </c>
      <c r="AF305" s="95">
        <v>15</v>
      </c>
      <c r="AG305" s="37">
        <v>15</v>
      </c>
      <c r="AH305" s="37">
        <v>15</v>
      </c>
      <c r="AI305" s="37">
        <v>15</v>
      </c>
      <c r="AJ305" s="58">
        <f>SUM(AD305:AI305)</f>
        <v>180</v>
      </c>
      <c r="AK305" s="49">
        <v>2027</v>
      </c>
      <c r="AM305"/>
      <c r="AN305"/>
      <c r="AO305"/>
      <c r="AP305"/>
      <c r="AQ305"/>
      <c r="AR305"/>
      <c r="AS305"/>
      <c r="AT305"/>
      <c r="AU305"/>
      <c r="AV305"/>
      <c r="AW305"/>
      <c r="AX305"/>
      <c r="AY305"/>
      <c r="AZ305"/>
      <c r="BA305"/>
      <c r="BB305"/>
      <c r="BC305"/>
      <c r="BD305"/>
      <c r="BE305"/>
      <c r="BF305"/>
      <c r="BG305"/>
      <c r="BH305"/>
      <c r="BI305"/>
      <c r="BJ305"/>
      <c r="BK305"/>
      <c r="BL305"/>
      <c r="BM305"/>
      <c r="BN305"/>
      <c r="BO305"/>
      <c r="BP305"/>
      <c r="BQ305"/>
      <c r="BR305"/>
      <c r="BS305"/>
      <c r="BT305"/>
      <c r="BU305"/>
      <c r="BV305"/>
      <c r="BW305"/>
      <c r="BX305"/>
      <c r="BY305"/>
      <c r="BZ305"/>
      <c r="CA305"/>
      <c r="CB305"/>
      <c r="CC305"/>
      <c r="CD305"/>
      <c r="CE305"/>
      <c r="CF305"/>
      <c r="CG305"/>
    </row>
    <row r="306" spans="1:85" ht="44.25">
      <c r="A306" s="30"/>
      <c r="B306" s="195"/>
      <c r="C306" s="195"/>
      <c r="D306" s="195"/>
      <c r="E306" s="195"/>
      <c r="F306" s="195"/>
      <c r="G306" s="195"/>
      <c r="H306" s="195"/>
      <c r="I306" s="195"/>
      <c r="J306" s="195"/>
      <c r="K306" s="195"/>
      <c r="L306" s="195"/>
      <c r="M306" s="195"/>
      <c r="N306" s="195"/>
      <c r="O306" s="195"/>
      <c r="P306" s="195"/>
      <c r="Q306" s="195"/>
      <c r="R306" s="195"/>
      <c r="S306" s="195">
        <v>1</v>
      </c>
      <c r="T306" s="195">
        <v>2</v>
      </c>
      <c r="U306" s="195">
        <v>6</v>
      </c>
      <c r="V306" s="195">
        <v>0</v>
      </c>
      <c r="W306" s="195">
        <v>4</v>
      </c>
      <c r="X306" s="195">
        <v>0</v>
      </c>
      <c r="Y306" s="185">
        <v>3</v>
      </c>
      <c r="Z306" s="195">
        <v>0</v>
      </c>
      <c r="AA306" s="195">
        <v>0</v>
      </c>
      <c r="AB306" s="173" t="s">
        <v>129</v>
      </c>
      <c r="AC306" s="131"/>
      <c r="AD306" s="134"/>
      <c r="AE306" s="146"/>
      <c r="AF306" s="171"/>
      <c r="AG306" s="134"/>
      <c r="AH306" s="134"/>
      <c r="AI306" s="134"/>
      <c r="AJ306" s="139"/>
      <c r="AK306" s="13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  <c r="AZ306"/>
      <c r="BA306"/>
      <c r="BB306"/>
      <c r="BC306"/>
      <c r="BD306"/>
      <c r="BE306"/>
      <c r="BF306"/>
      <c r="BG306"/>
      <c r="BH306"/>
      <c r="BI306"/>
      <c r="BJ306"/>
      <c r="BK306"/>
      <c r="BL306"/>
      <c r="BM306"/>
      <c r="BN306"/>
      <c r="BO306"/>
      <c r="BP306"/>
      <c r="BQ306"/>
      <c r="BR306"/>
      <c r="BS306"/>
      <c r="BT306"/>
      <c r="BU306"/>
      <c r="BV306"/>
      <c r="BW306"/>
      <c r="BX306"/>
      <c r="BY306"/>
      <c r="BZ306"/>
      <c r="CA306"/>
      <c r="CB306"/>
      <c r="CC306"/>
      <c r="CD306"/>
      <c r="CE306"/>
      <c r="CF306"/>
      <c r="CG306"/>
    </row>
    <row r="307" spans="1:85" ht="49.5" customHeight="1">
      <c r="A307" s="30"/>
      <c r="B307" s="195"/>
      <c r="C307" s="195"/>
      <c r="D307" s="195"/>
      <c r="E307" s="195"/>
      <c r="F307" s="195"/>
      <c r="G307" s="195"/>
      <c r="H307" s="195"/>
      <c r="I307" s="195"/>
      <c r="J307" s="195"/>
      <c r="K307" s="195"/>
      <c r="L307" s="195"/>
      <c r="M307" s="195"/>
      <c r="N307" s="195"/>
      <c r="O307" s="195"/>
      <c r="P307" s="195"/>
      <c r="Q307" s="195"/>
      <c r="R307" s="195"/>
      <c r="S307" s="195">
        <v>1</v>
      </c>
      <c r="T307" s="195">
        <v>2</v>
      </c>
      <c r="U307" s="195">
        <v>6</v>
      </c>
      <c r="V307" s="195">
        <v>0</v>
      </c>
      <c r="W307" s="195">
        <v>4</v>
      </c>
      <c r="X307" s="195">
        <v>0</v>
      </c>
      <c r="Y307" s="185">
        <v>3</v>
      </c>
      <c r="Z307" s="195">
        <v>0</v>
      </c>
      <c r="AA307" s="195">
        <v>1</v>
      </c>
      <c r="AB307" s="66" t="s">
        <v>130</v>
      </c>
      <c r="AC307" s="50" t="s">
        <v>107</v>
      </c>
      <c r="AD307" s="37">
        <v>30</v>
      </c>
      <c r="AE307" s="95">
        <v>30</v>
      </c>
      <c r="AF307" s="67">
        <v>30</v>
      </c>
      <c r="AG307" s="37">
        <v>30</v>
      </c>
      <c r="AH307" s="37">
        <v>30</v>
      </c>
      <c r="AI307" s="37">
        <v>30</v>
      </c>
      <c r="AJ307" s="58">
        <f>SUM(AD307:AI307)</f>
        <v>180</v>
      </c>
      <c r="AK307" s="49">
        <v>2027</v>
      </c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  <c r="AZ307"/>
      <c r="BA307"/>
      <c r="BB307"/>
      <c r="BC307"/>
      <c r="BD307"/>
      <c r="BE307"/>
      <c r="BF307"/>
      <c r="BG307"/>
      <c r="BH307"/>
      <c r="BI307"/>
      <c r="BJ307"/>
      <c r="BK307"/>
      <c r="BL307"/>
      <c r="BM307"/>
      <c r="BN307"/>
      <c r="BO307"/>
      <c r="BP307"/>
      <c r="BQ307"/>
      <c r="BR307"/>
      <c r="BS307"/>
      <c r="BT307"/>
      <c r="BU307"/>
      <c r="BV307"/>
      <c r="BW307"/>
      <c r="BX307"/>
      <c r="BY307"/>
      <c r="BZ307"/>
      <c r="CA307"/>
      <c r="CB307"/>
      <c r="CC307"/>
      <c r="CD307"/>
      <c r="CE307"/>
      <c r="CF307"/>
      <c r="CG307"/>
    </row>
    <row r="308" spans="1:85" ht="35.25" customHeight="1">
      <c r="A308" s="30"/>
      <c r="B308" s="195"/>
      <c r="C308" s="195"/>
      <c r="D308" s="195"/>
      <c r="E308" s="195"/>
      <c r="F308" s="195"/>
      <c r="G308" s="195"/>
      <c r="H308" s="195"/>
      <c r="I308" s="195"/>
      <c r="J308" s="195"/>
      <c r="K308" s="195"/>
      <c r="L308" s="195"/>
      <c r="M308" s="195"/>
      <c r="N308" s="195"/>
      <c r="O308" s="195"/>
      <c r="P308" s="195"/>
      <c r="Q308" s="195"/>
      <c r="R308" s="195"/>
      <c r="S308" s="195">
        <v>1</v>
      </c>
      <c r="T308" s="195">
        <v>2</v>
      </c>
      <c r="U308" s="195">
        <v>6</v>
      </c>
      <c r="V308" s="195">
        <v>0</v>
      </c>
      <c r="W308" s="195">
        <v>5</v>
      </c>
      <c r="X308" s="195">
        <v>0</v>
      </c>
      <c r="Y308" s="185">
        <v>0</v>
      </c>
      <c r="Z308" s="195">
        <v>0</v>
      </c>
      <c r="AA308" s="195">
        <v>0</v>
      </c>
      <c r="AB308" s="127" t="s">
        <v>131</v>
      </c>
      <c r="AC308" s="144"/>
      <c r="AD308" s="129"/>
      <c r="AE308" s="129"/>
      <c r="AF308" s="170"/>
      <c r="AG308" s="129"/>
      <c r="AH308" s="129"/>
      <c r="AI308" s="129"/>
      <c r="AJ308" s="130"/>
      <c r="AK308" s="129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  <c r="AZ308"/>
      <c r="BA308"/>
      <c r="BB308"/>
      <c r="BC308"/>
      <c r="BD308"/>
      <c r="BE308"/>
      <c r="BF308"/>
      <c r="BG308"/>
      <c r="BH308"/>
      <c r="BI308"/>
      <c r="BJ308"/>
      <c r="BK308"/>
      <c r="BL308"/>
      <c r="BM308"/>
      <c r="BN308"/>
      <c r="BO308"/>
      <c r="BP308"/>
      <c r="BQ308"/>
      <c r="BR308"/>
      <c r="BS308"/>
      <c r="BT308"/>
      <c r="BU308"/>
      <c r="BV308"/>
      <c r="BW308"/>
      <c r="BX308"/>
      <c r="BY308"/>
      <c r="BZ308"/>
      <c r="CA308"/>
      <c r="CB308"/>
      <c r="CC308"/>
      <c r="CD308"/>
      <c r="CE308"/>
      <c r="CF308"/>
      <c r="CG308"/>
    </row>
    <row r="309" spans="1:85" ht="29.25">
      <c r="A309" s="30"/>
      <c r="B309" s="195"/>
      <c r="C309" s="195"/>
      <c r="D309" s="195"/>
      <c r="E309" s="195"/>
      <c r="F309" s="195"/>
      <c r="G309" s="195"/>
      <c r="H309" s="195"/>
      <c r="I309" s="195"/>
      <c r="J309" s="195"/>
      <c r="K309" s="195"/>
      <c r="L309" s="195"/>
      <c r="M309" s="195"/>
      <c r="N309" s="195"/>
      <c r="O309" s="195"/>
      <c r="P309" s="195"/>
      <c r="Q309" s="195"/>
      <c r="R309" s="195"/>
      <c r="S309" s="195">
        <v>1</v>
      </c>
      <c r="T309" s="195">
        <v>2</v>
      </c>
      <c r="U309" s="195">
        <v>6</v>
      </c>
      <c r="V309" s="195">
        <v>0</v>
      </c>
      <c r="W309" s="195">
        <v>5</v>
      </c>
      <c r="X309" s="195">
        <v>0</v>
      </c>
      <c r="Y309" s="185">
        <v>0</v>
      </c>
      <c r="Z309" s="195">
        <v>0</v>
      </c>
      <c r="AA309" s="195">
        <v>1</v>
      </c>
      <c r="AB309" s="79" t="s">
        <v>342</v>
      </c>
      <c r="AC309" s="50" t="s">
        <v>95</v>
      </c>
      <c r="AD309" s="37">
        <v>1</v>
      </c>
      <c r="AE309" s="37">
        <v>1</v>
      </c>
      <c r="AF309" s="37">
        <v>1</v>
      </c>
      <c r="AG309" s="37">
        <v>1</v>
      </c>
      <c r="AH309" s="37">
        <v>1</v>
      </c>
      <c r="AI309" s="37">
        <v>1</v>
      </c>
      <c r="AJ309" s="58">
        <f>SUM(AD309:AI309)</f>
        <v>6</v>
      </c>
      <c r="AK309" s="49">
        <v>2027</v>
      </c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  <c r="AZ309"/>
      <c r="BA309"/>
      <c r="BB309"/>
      <c r="BC309"/>
      <c r="BD309"/>
      <c r="BE309"/>
      <c r="BF309"/>
      <c r="BG309"/>
      <c r="BH309"/>
      <c r="BI309"/>
      <c r="BJ309"/>
      <c r="BK309"/>
      <c r="BL309"/>
      <c r="BM309"/>
      <c r="BN309"/>
      <c r="BO309"/>
      <c r="BP309"/>
      <c r="BQ309"/>
      <c r="BR309"/>
      <c r="BS309"/>
      <c r="BT309"/>
      <c r="BU309"/>
      <c r="BV309"/>
      <c r="BW309"/>
      <c r="BX309"/>
      <c r="BY309"/>
      <c r="BZ309"/>
      <c r="CA309"/>
      <c r="CB309"/>
      <c r="CC309"/>
      <c r="CD309"/>
      <c r="CE309"/>
      <c r="CF309"/>
      <c r="CG309"/>
    </row>
    <row r="310" spans="1:85" ht="75">
      <c r="A310" s="30"/>
      <c r="B310" s="195"/>
      <c r="C310" s="195"/>
      <c r="D310" s="195"/>
      <c r="E310" s="195"/>
      <c r="F310" s="195"/>
      <c r="G310" s="195"/>
      <c r="H310" s="195"/>
      <c r="I310" s="195"/>
      <c r="J310" s="195"/>
      <c r="K310" s="195"/>
      <c r="L310" s="195"/>
      <c r="M310" s="195"/>
      <c r="N310" s="195"/>
      <c r="O310" s="195"/>
      <c r="P310" s="195"/>
      <c r="Q310" s="195"/>
      <c r="R310" s="195"/>
      <c r="S310" s="195">
        <v>1</v>
      </c>
      <c r="T310" s="195">
        <v>2</v>
      </c>
      <c r="U310" s="195">
        <v>6</v>
      </c>
      <c r="V310" s="195">
        <v>0</v>
      </c>
      <c r="W310" s="195">
        <v>5</v>
      </c>
      <c r="X310" s="195">
        <v>0</v>
      </c>
      <c r="Y310" s="185">
        <v>1</v>
      </c>
      <c r="Z310" s="195">
        <v>0</v>
      </c>
      <c r="AA310" s="195">
        <v>0</v>
      </c>
      <c r="AB310" s="167" t="s">
        <v>132</v>
      </c>
      <c r="AC310" s="131"/>
      <c r="AD310" s="134">
        <v>1</v>
      </c>
      <c r="AE310" s="168">
        <v>1</v>
      </c>
      <c r="AF310" s="168">
        <v>1</v>
      </c>
      <c r="AG310" s="134">
        <v>1</v>
      </c>
      <c r="AH310" s="134">
        <v>1</v>
      </c>
      <c r="AI310" s="134">
        <v>1</v>
      </c>
      <c r="AJ310" s="175">
        <f>SUM(AD310:AI310)</f>
        <v>6</v>
      </c>
      <c r="AK310" s="136">
        <v>2027</v>
      </c>
      <c r="AL310"/>
      <c r="AM310"/>
      <c r="AN310"/>
      <c r="AO310"/>
      <c r="AP310"/>
      <c r="AQ310"/>
      <c r="AR310"/>
      <c r="AS310"/>
      <c r="AT310"/>
      <c r="AU310"/>
      <c r="AV310"/>
      <c r="AW310"/>
      <c r="AX310"/>
      <c r="AY310"/>
      <c r="AZ310"/>
      <c r="BA310"/>
      <c r="BB310"/>
      <c r="BC310"/>
      <c r="BD310"/>
      <c r="BE310"/>
      <c r="BF310"/>
      <c r="BG310"/>
      <c r="BH310"/>
      <c r="BI310"/>
      <c r="BJ310"/>
      <c r="BK310"/>
      <c r="BL310"/>
      <c r="BM310"/>
      <c r="BN310"/>
      <c r="BO310"/>
      <c r="BP310"/>
      <c r="BQ310"/>
      <c r="BR310"/>
      <c r="BS310"/>
      <c r="BT310"/>
      <c r="BU310"/>
      <c r="BV310"/>
      <c r="BW310"/>
      <c r="BX310"/>
      <c r="BY310"/>
      <c r="BZ310"/>
      <c r="CA310"/>
      <c r="CB310"/>
      <c r="CC310"/>
      <c r="CD310"/>
      <c r="CE310"/>
      <c r="CF310"/>
      <c r="CG310"/>
    </row>
    <row r="311" spans="1:85" ht="58.5" customHeight="1">
      <c r="A311" s="30"/>
      <c r="B311" s="195"/>
      <c r="C311" s="195"/>
      <c r="D311" s="195"/>
      <c r="E311" s="195"/>
      <c r="F311" s="195"/>
      <c r="G311" s="195"/>
      <c r="H311" s="195"/>
      <c r="I311" s="195"/>
      <c r="J311" s="195"/>
      <c r="K311" s="195"/>
      <c r="L311" s="195"/>
      <c r="M311" s="195"/>
      <c r="N311" s="195"/>
      <c r="O311" s="195"/>
      <c r="P311" s="195"/>
      <c r="Q311" s="195"/>
      <c r="R311" s="195"/>
      <c r="S311" s="195">
        <v>1</v>
      </c>
      <c r="T311" s="195">
        <v>2</v>
      </c>
      <c r="U311" s="195">
        <v>6</v>
      </c>
      <c r="V311" s="195">
        <v>0</v>
      </c>
      <c r="W311" s="195">
        <v>5</v>
      </c>
      <c r="X311" s="195">
        <v>0</v>
      </c>
      <c r="Y311" s="185">
        <v>1</v>
      </c>
      <c r="Z311" s="195">
        <v>0</v>
      </c>
      <c r="AA311" s="195">
        <v>1</v>
      </c>
      <c r="AB311" s="86" t="s">
        <v>133</v>
      </c>
      <c r="AC311" s="50" t="s">
        <v>95</v>
      </c>
      <c r="AD311" s="37">
        <v>3</v>
      </c>
      <c r="AE311" s="110">
        <v>3</v>
      </c>
      <c r="AF311" s="110">
        <v>3</v>
      </c>
      <c r="AG311" s="37">
        <v>3</v>
      </c>
      <c r="AH311" s="37">
        <v>3</v>
      </c>
      <c r="AI311" s="37">
        <v>3</v>
      </c>
      <c r="AJ311" s="58">
        <f>SUM(AD311:AI311)</f>
        <v>18</v>
      </c>
      <c r="AK311" s="49">
        <v>2027</v>
      </c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AY311"/>
      <c r="AZ311"/>
      <c r="BA311"/>
      <c r="BB311"/>
      <c r="BC311"/>
      <c r="BD311"/>
      <c r="BE311"/>
      <c r="BF311"/>
      <c r="BG311"/>
      <c r="BH311"/>
      <c r="BI311"/>
      <c r="BJ311"/>
      <c r="BK311"/>
      <c r="BL311"/>
      <c r="BM311"/>
      <c r="BN311"/>
      <c r="BO311"/>
      <c r="BP311"/>
      <c r="BQ311"/>
      <c r="BR311"/>
      <c r="BS311"/>
      <c r="BT311"/>
      <c r="BU311"/>
      <c r="BV311"/>
      <c r="BW311"/>
      <c r="BX311"/>
      <c r="BY311"/>
      <c r="BZ311"/>
      <c r="CA311"/>
      <c r="CB311"/>
      <c r="CC311"/>
      <c r="CD311"/>
      <c r="CE311"/>
      <c r="CF311"/>
      <c r="CG311"/>
    </row>
    <row r="312" spans="1:85" ht="66" customHeight="1">
      <c r="A312" s="30"/>
      <c r="B312" s="195"/>
      <c r="C312" s="195"/>
      <c r="D312" s="195"/>
      <c r="E312" s="195"/>
      <c r="F312" s="195"/>
      <c r="G312" s="195"/>
      <c r="H312" s="195"/>
      <c r="I312" s="195"/>
      <c r="J312" s="195"/>
      <c r="K312" s="195"/>
      <c r="L312" s="195"/>
      <c r="M312" s="195"/>
      <c r="N312" s="195"/>
      <c r="O312" s="195"/>
      <c r="P312" s="195"/>
      <c r="Q312" s="195"/>
      <c r="R312" s="195"/>
      <c r="S312" s="195">
        <v>1</v>
      </c>
      <c r="T312" s="195">
        <v>2</v>
      </c>
      <c r="U312" s="195">
        <v>6</v>
      </c>
      <c r="V312" s="195">
        <v>0</v>
      </c>
      <c r="W312" s="195">
        <v>5</v>
      </c>
      <c r="X312" s="195">
        <v>0</v>
      </c>
      <c r="Y312" s="185">
        <v>2</v>
      </c>
      <c r="Z312" s="195">
        <v>0</v>
      </c>
      <c r="AA312" s="195">
        <v>0</v>
      </c>
      <c r="AB312" s="173" t="s">
        <v>230</v>
      </c>
      <c r="AC312" s="131" t="s">
        <v>96</v>
      </c>
      <c r="AD312" s="134"/>
      <c r="AE312" s="146"/>
      <c r="AF312" s="171"/>
      <c r="AG312" s="134"/>
      <c r="AH312" s="134"/>
      <c r="AI312" s="134"/>
      <c r="AJ312" s="171"/>
      <c r="AK312" s="136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  <c r="AY312"/>
      <c r="AZ312"/>
      <c r="BA312"/>
      <c r="BB312"/>
      <c r="BC312"/>
      <c r="BD312"/>
      <c r="BE312"/>
      <c r="BF312"/>
      <c r="BG312"/>
      <c r="BH312"/>
      <c r="BI312"/>
      <c r="BJ312"/>
      <c r="BK312"/>
      <c r="BL312"/>
      <c r="BM312"/>
      <c r="BN312"/>
      <c r="BO312"/>
      <c r="BP312"/>
      <c r="BQ312"/>
      <c r="BR312"/>
      <c r="BS312"/>
      <c r="BT312"/>
      <c r="BU312"/>
      <c r="BV312"/>
      <c r="BW312"/>
      <c r="BX312"/>
      <c r="BY312"/>
      <c r="BZ312"/>
      <c r="CA312"/>
      <c r="CB312"/>
      <c r="CC312"/>
      <c r="CD312"/>
      <c r="CE312"/>
      <c r="CF312"/>
      <c r="CG312"/>
    </row>
    <row r="313" spans="1:85" ht="48" customHeight="1">
      <c r="A313" s="30"/>
      <c r="B313" s="195"/>
      <c r="C313" s="195"/>
      <c r="D313" s="195"/>
      <c r="E313" s="195"/>
      <c r="F313" s="195"/>
      <c r="G313" s="195"/>
      <c r="H313" s="195"/>
      <c r="I313" s="195"/>
      <c r="J313" s="195"/>
      <c r="K313" s="195"/>
      <c r="L313" s="195"/>
      <c r="M313" s="195"/>
      <c r="N313" s="195"/>
      <c r="O313" s="195"/>
      <c r="P313" s="195"/>
      <c r="Q313" s="195"/>
      <c r="R313" s="195"/>
      <c r="S313" s="197">
        <v>1</v>
      </c>
      <c r="T313" s="197">
        <v>2</v>
      </c>
      <c r="U313" s="197">
        <v>6</v>
      </c>
      <c r="V313" s="197">
        <v>0</v>
      </c>
      <c r="W313" s="197">
        <v>5</v>
      </c>
      <c r="X313" s="195">
        <v>0</v>
      </c>
      <c r="Y313" s="185">
        <v>2</v>
      </c>
      <c r="Z313" s="195">
        <v>0</v>
      </c>
      <c r="AA313" s="195">
        <v>1</v>
      </c>
      <c r="AB313" s="66" t="s">
        <v>134</v>
      </c>
      <c r="AC313" s="50" t="s">
        <v>95</v>
      </c>
      <c r="AD313" s="37">
        <v>3</v>
      </c>
      <c r="AE313" s="95">
        <v>3</v>
      </c>
      <c r="AF313" s="95">
        <v>3</v>
      </c>
      <c r="AG313" s="37">
        <v>3</v>
      </c>
      <c r="AH313" s="37">
        <v>3</v>
      </c>
      <c r="AI313" s="37">
        <v>3</v>
      </c>
      <c r="AJ313" s="58">
        <f>SUM(AD313:AI313)</f>
        <v>18</v>
      </c>
      <c r="AK313" s="49">
        <v>2027</v>
      </c>
      <c r="AL313"/>
      <c r="AM313"/>
      <c r="AN313"/>
      <c r="AO313"/>
      <c r="AP313"/>
      <c r="AQ313"/>
      <c r="AR313"/>
      <c r="AS313"/>
      <c r="AT313"/>
      <c r="AU313"/>
      <c r="AV313"/>
      <c r="AW313"/>
      <c r="AX313"/>
      <c r="AY313"/>
      <c r="AZ313"/>
      <c r="BA313"/>
      <c r="BB313"/>
      <c r="BC313"/>
      <c r="BD313"/>
      <c r="BE313"/>
      <c r="BF313"/>
      <c r="BG313"/>
      <c r="BH313"/>
      <c r="BI313"/>
      <c r="BJ313"/>
      <c r="BK313"/>
      <c r="BL313"/>
      <c r="BM313"/>
      <c r="BN313"/>
      <c r="BO313"/>
      <c r="BP313"/>
      <c r="BQ313"/>
      <c r="BR313"/>
      <c r="BS313"/>
      <c r="BT313"/>
      <c r="BU313"/>
      <c r="BV313"/>
      <c r="BW313"/>
      <c r="BX313"/>
      <c r="BY313"/>
      <c r="BZ313"/>
      <c r="CA313"/>
      <c r="CB313"/>
      <c r="CC313"/>
      <c r="CD313"/>
      <c r="CE313"/>
      <c r="CF313"/>
      <c r="CG313"/>
    </row>
    <row r="314" spans="1:85" ht="44.25" customHeight="1">
      <c r="A314" s="30"/>
      <c r="B314" s="195"/>
      <c r="C314" s="195"/>
      <c r="D314" s="195"/>
      <c r="E314" s="195"/>
      <c r="F314" s="195"/>
      <c r="G314" s="195"/>
      <c r="H314" s="195"/>
      <c r="I314" s="195"/>
      <c r="J314" s="195"/>
      <c r="K314" s="195"/>
      <c r="L314" s="195"/>
      <c r="M314" s="195"/>
      <c r="N314" s="195"/>
      <c r="O314" s="195"/>
      <c r="P314" s="195"/>
      <c r="Q314" s="195"/>
      <c r="R314" s="195"/>
      <c r="S314" s="197">
        <v>1</v>
      </c>
      <c r="T314" s="197">
        <v>2</v>
      </c>
      <c r="U314" s="197">
        <v>6</v>
      </c>
      <c r="V314" s="197">
        <v>0</v>
      </c>
      <c r="W314" s="197">
        <v>6</v>
      </c>
      <c r="X314" s="195">
        <v>0</v>
      </c>
      <c r="Y314" s="185">
        <v>0</v>
      </c>
      <c r="Z314" s="195">
        <v>0</v>
      </c>
      <c r="AA314" s="195">
        <v>0</v>
      </c>
      <c r="AB314" s="158" t="s">
        <v>231</v>
      </c>
      <c r="AC314" s="128"/>
      <c r="AD314" s="129"/>
      <c r="AE314" s="174"/>
      <c r="AF314" s="174"/>
      <c r="AG314" s="129"/>
      <c r="AH314" s="129"/>
      <c r="AI314" s="129"/>
      <c r="AJ314" s="130"/>
      <c r="AK314" s="121"/>
      <c r="AL314"/>
      <c r="AM314"/>
      <c r="AN314"/>
      <c r="AO314"/>
      <c r="AP314"/>
      <c r="AQ314"/>
      <c r="AR314"/>
      <c r="AS314"/>
      <c r="AT314"/>
      <c r="AU314"/>
      <c r="AV314"/>
      <c r="AW314"/>
      <c r="AX314"/>
      <c r="AY314"/>
      <c r="AZ314"/>
      <c r="BA314"/>
      <c r="BB314"/>
      <c r="BC314"/>
      <c r="BD314"/>
      <c r="BE314"/>
      <c r="BF314"/>
      <c r="BG314"/>
      <c r="BH314"/>
      <c r="BI314"/>
      <c r="BJ314"/>
      <c r="BK314"/>
      <c r="BL314"/>
      <c r="BM314"/>
      <c r="BN314"/>
      <c r="BO314"/>
      <c r="BP314"/>
      <c r="BQ314"/>
      <c r="BR314"/>
      <c r="BS314"/>
      <c r="BT314"/>
      <c r="BU314"/>
      <c r="BV314"/>
      <c r="BW314"/>
      <c r="BX314"/>
      <c r="BY314"/>
      <c r="BZ314"/>
      <c r="CA314"/>
      <c r="CB314"/>
      <c r="CC314"/>
      <c r="CD314"/>
      <c r="CE314"/>
      <c r="CF314"/>
      <c r="CG314"/>
    </row>
    <row r="315" spans="1:85" ht="47.25" customHeight="1">
      <c r="A315" s="30"/>
      <c r="B315" s="195"/>
      <c r="C315" s="195"/>
      <c r="D315" s="195"/>
      <c r="E315" s="195"/>
      <c r="F315" s="195"/>
      <c r="G315" s="195"/>
      <c r="H315" s="195"/>
      <c r="I315" s="195"/>
      <c r="J315" s="195"/>
      <c r="K315" s="195"/>
      <c r="L315" s="195"/>
      <c r="M315" s="195"/>
      <c r="N315" s="195"/>
      <c r="O315" s="195"/>
      <c r="P315" s="195"/>
      <c r="Q315" s="195"/>
      <c r="R315" s="195"/>
      <c r="S315" s="197">
        <v>1</v>
      </c>
      <c r="T315" s="197">
        <v>2</v>
      </c>
      <c r="U315" s="197">
        <v>6</v>
      </c>
      <c r="V315" s="197">
        <v>0</v>
      </c>
      <c r="W315" s="197">
        <v>6</v>
      </c>
      <c r="X315" s="195">
        <v>0</v>
      </c>
      <c r="Y315" s="185">
        <v>0</v>
      </c>
      <c r="Z315" s="195">
        <v>0</v>
      </c>
      <c r="AA315" s="195">
        <v>1</v>
      </c>
      <c r="AB315" s="66" t="s">
        <v>232</v>
      </c>
      <c r="AC315" s="50" t="s">
        <v>106</v>
      </c>
      <c r="AD315" s="95">
        <v>205</v>
      </c>
      <c r="AE315" s="95">
        <v>205</v>
      </c>
      <c r="AF315" s="95">
        <v>205</v>
      </c>
      <c r="AG315" s="37">
        <v>205</v>
      </c>
      <c r="AH315" s="37">
        <v>205</v>
      </c>
      <c r="AI315" s="37">
        <v>205</v>
      </c>
      <c r="AJ315" s="58">
        <f>SUM(AD315:AI315)</f>
        <v>1230</v>
      </c>
      <c r="AK315" s="49">
        <v>2027</v>
      </c>
      <c r="AL315"/>
      <c r="AM315"/>
      <c r="AN315"/>
      <c r="AO315"/>
      <c r="AP315"/>
      <c r="AQ315"/>
      <c r="AR315"/>
      <c r="AS315"/>
      <c r="AT315"/>
      <c r="AU315"/>
      <c r="AV315"/>
      <c r="AW315"/>
      <c r="AX315"/>
      <c r="AY315"/>
      <c r="AZ315"/>
      <c r="BA315"/>
      <c r="BB315"/>
      <c r="BC315"/>
      <c r="BD315"/>
      <c r="BE315"/>
      <c r="BF315"/>
      <c r="BG315"/>
      <c r="BH315"/>
      <c r="BI315"/>
      <c r="BJ315"/>
      <c r="BK315"/>
      <c r="BL315"/>
      <c r="BM315"/>
      <c r="BN315"/>
      <c r="BO315"/>
      <c r="BP315"/>
      <c r="BQ315"/>
      <c r="BR315"/>
      <c r="BS315"/>
      <c r="BT315"/>
      <c r="BU315"/>
      <c r="BV315"/>
      <c r="BW315"/>
      <c r="BX315"/>
      <c r="BY315"/>
      <c r="BZ315"/>
      <c r="CA315"/>
      <c r="CB315"/>
      <c r="CC315"/>
      <c r="CD315"/>
      <c r="CE315"/>
      <c r="CF315"/>
      <c r="CG315"/>
    </row>
    <row r="316" spans="1:85" ht="46.5" customHeight="1">
      <c r="A316" s="30"/>
      <c r="B316" s="195"/>
      <c r="C316" s="195"/>
      <c r="D316" s="195"/>
      <c r="E316" s="195"/>
      <c r="F316" s="195"/>
      <c r="G316" s="195"/>
      <c r="H316" s="195"/>
      <c r="I316" s="195"/>
      <c r="J316" s="195"/>
      <c r="K316" s="195"/>
      <c r="L316" s="195"/>
      <c r="M316" s="195"/>
      <c r="N316" s="195"/>
      <c r="O316" s="195"/>
      <c r="P316" s="195"/>
      <c r="Q316" s="195"/>
      <c r="R316" s="195"/>
      <c r="S316" s="197">
        <v>1</v>
      </c>
      <c r="T316" s="197">
        <v>2</v>
      </c>
      <c r="U316" s="197">
        <v>6</v>
      </c>
      <c r="V316" s="197">
        <v>0</v>
      </c>
      <c r="W316" s="197">
        <v>6</v>
      </c>
      <c r="X316" s="195">
        <v>0</v>
      </c>
      <c r="Y316" s="185">
        <v>0</v>
      </c>
      <c r="Z316" s="195">
        <v>0</v>
      </c>
      <c r="AA316" s="195">
        <v>2</v>
      </c>
      <c r="AB316" s="66" t="s">
        <v>235</v>
      </c>
      <c r="AC316" s="50" t="s">
        <v>106</v>
      </c>
      <c r="AD316" s="95">
        <v>86</v>
      </c>
      <c r="AE316" s="95">
        <v>86</v>
      </c>
      <c r="AF316" s="95">
        <v>86</v>
      </c>
      <c r="AG316" s="37">
        <v>86</v>
      </c>
      <c r="AH316" s="37">
        <v>86</v>
      </c>
      <c r="AI316" s="37">
        <v>86</v>
      </c>
      <c r="AJ316" s="58">
        <v>430</v>
      </c>
      <c r="AK316" s="49">
        <v>2027</v>
      </c>
      <c r="AL316"/>
      <c r="AM316"/>
      <c r="AN316"/>
      <c r="AO316"/>
      <c r="AP316"/>
      <c r="AQ316"/>
      <c r="AR316"/>
      <c r="AS316"/>
      <c r="AT316"/>
      <c r="AU316"/>
      <c r="AV316"/>
      <c r="AW316"/>
      <c r="AX316"/>
      <c r="AY316"/>
      <c r="AZ316"/>
      <c r="BA316"/>
      <c r="BB316"/>
      <c r="BC316"/>
      <c r="BD316"/>
      <c r="BE316"/>
      <c r="BF316"/>
      <c r="BG316"/>
      <c r="BH316"/>
      <c r="BI316"/>
      <c r="BJ316"/>
      <c r="BK316"/>
      <c r="BL316"/>
      <c r="BM316"/>
      <c r="BN316"/>
      <c r="BO316"/>
      <c r="BP316"/>
      <c r="BQ316"/>
      <c r="BR316"/>
      <c r="BS316"/>
      <c r="BT316"/>
      <c r="BU316"/>
      <c r="BV316"/>
      <c r="BW316"/>
      <c r="BX316"/>
      <c r="BY316"/>
      <c r="BZ316"/>
      <c r="CA316"/>
      <c r="CB316"/>
      <c r="CC316"/>
      <c r="CD316"/>
      <c r="CE316"/>
      <c r="CF316"/>
      <c r="CG316"/>
    </row>
    <row r="317" spans="1:85" ht="66" customHeight="1">
      <c r="A317" s="30"/>
      <c r="B317" s="195"/>
      <c r="C317" s="195"/>
      <c r="D317" s="195"/>
      <c r="E317" s="195"/>
      <c r="F317" s="195"/>
      <c r="G317" s="195"/>
      <c r="H317" s="195"/>
      <c r="I317" s="195"/>
      <c r="J317" s="195"/>
      <c r="K317" s="195"/>
      <c r="L317" s="195"/>
      <c r="M317" s="195"/>
      <c r="N317" s="195"/>
      <c r="O317" s="195"/>
      <c r="P317" s="195"/>
      <c r="Q317" s="195"/>
      <c r="R317" s="195"/>
      <c r="S317" s="197">
        <v>1</v>
      </c>
      <c r="T317" s="197">
        <v>2</v>
      </c>
      <c r="U317" s="197">
        <v>6</v>
      </c>
      <c r="V317" s="197">
        <v>0</v>
      </c>
      <c r="W317" s="197">
        <v>6</v>
      </c>
      <c r="X317" s="195">
        <v>0</v>
      </c>
      <c r="Y317" s="185">
        <v>0</v>
      </c>
      <c r="Z317" s="195">
        <v>0</v>
      </c>
      <c r="AA317" s="195">
        <v>3</v>
      </c>
      <c r="AB317" s="66" t="s">
        <v>238</v>
      </c>
      <c r="AC317" s="50" t="s">
        <v>106</v>
      </c>
      <c r="AD317" s="95">
        <v>8</v>
      </c>
      <c r="AE317" s="95">
        <v>8</v>
      </c>
      <c r="AF317" s="95">
        <v>8</v>
      </c>
      <c r="AG317" s="37">
        <v>8</v>
      </c>
      <c r="AH317" s="37">
        <v>8</v>
      </c>
      <c r="AI317" s="37">
        <v>8</v>
      </c>
      <c r="AJ317" s="58">
        <f>SUM(AD317:AI317)</f>
        <v>48</v>
      </c>
      <c r="AK317" s="49">
        <v>2027</v>
      </c>
      <c r="AL317"/>
      <c r="AM317"/>
      <c r="AN317"/>
      <c r="AO317"/>
      <c r="AP317"/>
      <c r="AQ317"/>
      <c r="AR317"/>
      <c r="AS317"/>
      <c r="AT317"/>
      <c r="AU317"/>
      <c r="AV317"/>
      <c r="AW317"/>
      <c r="AX317"/>
      <c r="AY317"/>
      <c r="AZ317"/>
      <c r="BA317"/>
      <c r="BB317"/>
      <c r="BC317"/>
      <c r="BD317"/>
      <c r="BE317"/>
      <c r="BF317"/>
      <c r="BG317"/>
      <c r="BH317"/>
      <c r="BI317"/>
      <c r="BJ317"/>
      <c r="BK317"/>
      <c r="BL317"/>
      <c r="BM317"/>
      <c r="BN317"/>
      <c r="BO317"/>
      <c r="BP317"/>
      <c r="BQ317"/>
      <c r="BR317"/>
      <c r="BS317"/>
      <c r="BT317"/>
      <c r="BU317"/>
      <c r="BV317"/>
      <c r="BW317"/>
      <c r="BX317"/>
      <c r="BY317"/>
      <c r="BZ317"/>
      <c r="CA317"/>
      <c r="CB317"/>
      <c r="CC317"/>
      <c r="CD317"/>
      <c r="CE317"/>
      <c r="CF317"/>
      <c r="CG317"/>
    </row>
    <row r="318" spans="1:85" ht="48.75" customHeight="1">
      <c r="A318" s="30"/>
      <c r="B318" s="195"/>
      <c r="C318" s="195"/>
      <c r="D318" s="195"/>
      <c r="E318" s="195"/>
      <c r="F318" s="195"/>
      <c r="G318" s="195"/>
      <c r="H318" s="195"/>
      <c r="I318" s="195"/>
      <c r="J318" s="195"/>
      <c r="K318" s="195"/>
      <c r="L318" s="195"/>
      <c r="M318" s="195"/>
      <c r="N318" s="195"/>
      <c r="O318" s="195"/>
      <c r="P318" s="195"/>
      <c r="Q318" s="195"/>
      <c r="R318" s="195"/>
      <c r="S318" s="197">
        <v>1</v>
      </c>
      <c r="T318" s="197">
        <v>2</v>
      </c>
      <c r="U318" s="197">
        <v>6</v>
      </c>
      <c r="V318" s="197">
        <v>0</v>
      </c>
      <c r="W318" s="197">
        <v>6</v>
      </c>
      <c r="X318" s="195">
        <v>0</v>
      </c>
      <c r="Y318" s="185">
        <v>1</v>
      </c>
      <c r="Z318" s="195">
        <v>0</v>
      </c>
      <c r="AA318" s="195">
        <v>0</v>
      </c>
      <c r="AB318" s="145" t="s">
        <v>233</v>
      </c>
      <c r="AC318" s="131"/>
      <c r="AD318" s="134"/>
      <c r="AE318" s="157"/>
      <c r="AF318" s="157"/>
      <c r="AG318" s="134"/>
      <c r="AH318" s="134"/>
      <c r="AI318" s="134"/>
      <c r="AJ318" s="139"/>
      <c r="AK318" s="136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  <c r="AY318"/>
      <c r="AZ318"/>
      <c r="BA318"/>
      <c r="BB318"/>
      <c r="BC318"/>
      <c r="BD318"/>
      <c r="BE318"/>
      <c r="BF318"/>
      <c r="BG318"/>
      <c r="BH318"/>
      <c r="BI318"/>
      <c r="BJ318"/>
      <c r="BK318"/>
      <c r="BL318"/>
      <c r="BM318"/>
      <c r="BN318"/>
      <c r="BO318"/>
      <c r="BP318"/>
      <c r="BQ318"/>
      <c r="BR318"/>
      <c r="BS318"/>
      <c r="BT318"/>
      <c r="BU318"/>
      <c r="BV318"/>
      <c r="BW318"/>
      <c r="BX318"/>
      <c r="BY318"/>
      <c r="BZ318"/>
      <c r="CA318"/>
      <c r="CB318"/>
      <c r="CC318"/>
      <c r="CD318"/>
      <c r="CE318"/>
      <c r="CF318"/>
      <c r="CG318"/>
    </row>
    <row r="319" spans="1:85" ht="66" customHeight="1">
      <c r="A319" s="30"/>
      <c r="B319" s="195"/>
      <c r="C319" s="195"/>
      <c r="D319" s="195"/>
      <c r="E319" s="195"/>
      <c r="F319" s="195"/>
      <c r="G319" s="195"/>
      <c r="H319" s="195"/>
      <c r="I319" s="195"/>
      <c r="J319" s="195"/>
      <c r="K319" s="195"/>
      <c r="L319" s="195"/>
      <c r="M319" s="195"/>
      <c r="N319" s="195"/>
      <c r="O319" s="195"/>
      <c r="P319" s="195"/>
      <c r="Q319" s="195"/>
      <c r="R319" s="195"/>
      <c r="S319" s="197">
        <v>1</v>
      </c>
      <c r="T319" s="197">
        <v>2</v>
      </c>
      <c r="U319" s="197">
        <v>6</v>
      </c>
      <c r="V319" s="197">
        <v>0</v>
      </c>
      <c r="W319" s="197">
        <v>6</v>
      </c>
      <c r="X319" s="195">
        <v>0</v>
      </c>
      <c r="Y319" s="185">
        <v>1</v>
      </c>
      <c r="Z319" s="195">
        <v>0</v>
      </c>
      <c r="AA319" s="195">
        <v>1</v>
      </c>
      <c r="AB319" s="66" t="s">
        <v>234</v>
      </c>
      <c r="AC319" s="50" t="s">
        <v>106</v>
      </c>
      <c r="AD319" s="95">
        <v>205</v>
      </c>
      <c r="AE319" s="95">
        <v>205</v>
      </c>
      <c r="AF319" s="95">
        <v>205</v>
      </c>
      <c r="AG319" s="37">
        <v>205</v>
      </c>
      <c r="AH319" s="37">
        <v>205</v>
      </c>
      <c r="AI319" s="37">
        <v>205</v>
      </c>
      <c r="AJ319" s="58">
        <f>SUM(AD319:AI319)</f>
        <v>1230</v>
      </c>
      <c r="AK319" s="49">
        <v>2027</v>
      </c>
      <c r="AL319"/>
      <c r="AM319"/>
      <c r="AN319"/>
      <c r="AO319"/>
      <c r="AP319"/>
      <c r="AQ319"/>
      <c r="AR319"/>
      <c r="AS319"/>
      <c r="AT319"/>
      <c r="AU319"/>
      <c r="AV319"/>
      <c r="AW319"/>
      <c r="AX319"/>
      <c r="AY319"/>
      <c r="AZ319"/>
      <c r="BA319"/>
      <c r="BB319"/>
      <c r="BC319"/>
      <c r="BD319"/>
      <c r="BE319"/>
      <c r="BF319"/>
      <c r="BG319"/>
      <c r="BH319"/>
      <c r="BI319"/>
      <c r="BJ319"/>
      <c r="BK319"/>
      <c r="BL319"/>
      <c r="BM319"/>
      <c r="BN319"/>
      <c r="BO319"/>
      <c r="BP319"/>
      <c r="BQ319"/>
      <c r="BR319"/>
      <c r="BS319"/>
      <c r="BT319"/>
      <c r="BU319"/>
      <c r="BV319"/>
      <c r="BW319"/>
      <c r="BX319"/>
      <c r="BY319"/>
      <c r="BZ319"/>
      <c r="CA319"/>
      <c r="CB319"/>
      <c r="CC319"/>
      <c r="CD319"/>
      <c r="CE319"/>
      <c r="CF319"/>
      <c r="CG319"/>
    </row>
    <row r="320" spans="1:85" ht="47.25" customHeight="1">
      <c r="A320" s="30"/>
      <c r="B320" s="195"/>
      <c r="C320" s="195"/>
      <c r="D320" s="195"/>
      <c r="E320" s="195"/>
      <c r="F320" s="195"/>
      <c r="G320" s="195"/>
      <c r="H320" s="195"/>
      <c r="I320" s="195"/>
      <c r="J320" s="195"/>
      <c r="K320" s="195"/>
      <c r="L320" s="195"/>
      <c r="M320" s="195"/>
      <c r="N320" s="195"/>
      <c r="O320" s="195"/>
      <c r="P320" s="195"/>
      <c r="Q320" s="195"/>
      <c r="R320" s="195"/>
      <c r="S320" s="197">
        <v>1</v>
      </c>
      <c r="T320" s="197">
        <v>2</v>
      </c>
      <c r="U320" s="197">
        <v>6</v>
      </c>
      <c r="V320" s="197">
        <v>0</v>
      </c>
      <c r="W320" s="197">
        <v>6</v>
      </c>
      <c r="X320" s="195">
        <v>0</v>
      </c>
      <c r="Y320" s="185">
        <v>2</v>
      </c>
      <c r="Z320" s="195">
        <v>0</v>
      </c>
      <c r="AA320" s="195">
        <v>0</v>
      </c>
      <c r="AB320" s="145" t="s">
        <v>236</v>
      </c>
      <c r="AC320" s="131"/>
      <c r="AD320" s="134"/>
      <c r="AE320" s="157"/>
      <c r="AF320" s="157"/>
      <c r="AG320" s="134"/>
      <c r="AH320" s="134"/>
      <c r="AI320" s="134"/>
      <c r="AJ320" s="139"/>
      <c r="AK320" s="136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  <c r="AY320"/>
      <c r="AZ320"/>
      <c r="BA320"/>
      <c r="BB320"/>
      <c r="BC320"/>
      <c r="BD320"/>
      <c r="BE320"/>
      <c r="BF320"/>
      <c r="BG320"/>
      <c r="BH320"/>
      <c r="BI320"/>
      <c r="BJ320"/>
      <c r="BK320"/>
      <c r="BL320"/>
      <c r="BM320"/>
      <c r="BN320"/>
      <c r="BO320"/>
      <c r="BP320"/>
      <c r="BQ320"/>
      <c r="BR320"/>
      <c r="BS320"/>
      <c r="BT320"/>
      <c r="BU320"/>
      <c r="BV320"/>
      <c r="BW320"/>
      <c r="BX320"/>
      <c r="BY320"/>
      <c r="BZ320"/>
      <c r="CA320"/>
      <c r="CB320"/>
      <c r="CC320"/>
      <c r="CD320"/>
      <c r="CE320"/>
      <c r="CF320"/>
      <c r="CG320"/>
    </row>
    <row r="321" spans="1:85" ht="46.5" customHeight="1">
      <c r="A321" s="30"/>
      <c r="B321" s="195"/>
      <c r="C321" s="195"/>
      <c r="D321" s="195"/>
      <c r="E321" s="195"/>
      <c r="F321" s="195"/>
      <c r="G321" s="195"/>
      <c r="H321" s="195"/>
      <c r="I321" s="195"/>
      <c r="J321" s="195"/>
      <c r="K321" s="195"/>
      <c r="L321" s="195"/>
      <c r="M321" s="195"/>
      <c r="N321" s="195"/>
      <c r="O321" s="195"/>
      <c r="P321" s="195"/>
      <c r="Q321" s="195"/>
      <c r="R321" s="195"/>
      <c r="S321" s="197">
        <v>1</v>
      </c>
      <c r="T321" s="197">
        <v>2</v>
      </c>
      <c r="U321" s="197">
        <v>6</v>
      </c>
      <c r="V321" s="197">
        <v>0</v>
      </c>
      <c r="W321" s="197">
        <v>6</v>
      </c>
      <c r="X321" s="195">
        <v>0</v>
      </c>
      <c r="Y321" s="185">
        <v>2</v>
      </c>
      <c r="Z321" s="195">
        <v>0</v>
      </c>
      <c r="AA321" s="195">
        <v>1</v>
      </c>
      <c r="AB321" s="66" t="s">
        <v>237</v>
      </c>
      <c r="AC321" s="50" t="s">
        <v>106</v>
      </c>
      <c r="AD321" s="95">
        <v>86</v>
      </c>
      <c r="AE321" s="95">
        <v>86</v>
      </c>
      <c r="AF321" s="95">
        <v>86</v>
      </c>
      <c r="AG321" s="37">
        <v>86</v>
      </c>
      <c r="AH321" s="37">
        <v>86</v>
      </c>
      <c r="AI321" s="37">
        <v>86</v>
      </c>
      <c r="AJ321" s="58">
        <f>SUM(AD321:AI321)</f>
        <v>516</v>
      </c>
      <c r="AK321" s="49">
        <v>2027</v>
      </c>
      <c r="AL321"/>
      <c r="AM321"/>
      <c r="AN321"/>
      <c r="AO321"/>
      <c r="AP321"/>
      <c r="AQ321"/>
      <c r="AR321"/>
      <c r="AS321"/>
      <c r="AT321"/>
      <c r="AU321"/>
      <c r="AV321"/>
      <c r="AW321"/>
      <c r="AX321"/>
      <c r="AY321"/>
      <c r="AZ321"/>
      <c r="BA321"/>
      <c r="BB321"/>
      <c r="BC321"/>
      <c r="BD321"/>
      <c r="BE321"/>
      <c r="BF321"/>
      <c r="BG321"/>
      <c r="BH321"/>
      <c r="BI321"/>
      <c r="BJ321"/>
      <c r="BK321"/>
      <c r="BL321"/>
      <c r="BM321"/>
      <c r="BN321"/>
      <c r="BO321"/>
      <c r="BP321"/>
      <c r="BQ321"/>
      <c r="BR321"/>
      <c r="BS321"/>
      <c r="BT321"/>
      <c r="BU321"/>
      <c r="BV321"/>
      <c r="BW321"/>
      <c r="BX321"/>
      <c r="BY321"/>
      <c r="BZ321"/>
      <c r="CA321"/>
      <c r="CB321"/>
      <c r="CC321"/>
      <c r="CD321"/>
      <c r="CE321"/>
      <c r="CF321"/>
      <c r="CG321"/>
    </row>
    <row r="322" spans="1:85" ht="62.25" customHeight="1">
      <c r="A322" s="30"/>
      <c r="B322" s="195"/>
      <c r="C322" s="195"/>
      <c r="D322" s="195"/>
      <c r="E322" s="195"/>
      <c r="F322" s="195"/>
      <c r="G322" s="195"/>
      <c r="H322" s="195"/>
      <c r="I322" s="195"/>
      <c r="J322" s="195"/>
      <c r="K322" s="195"/>
      <c r="L322" s="195"/>
      <c r="M322" s="195"/>
      <c r="N322" s="195"/>
      <c r="O322" s="195"/>
      <c r="P322" s="195"/>
      <c r="Q322" s="195"/>
      <c r="R322" s="195"/>
      <c r="S322" s="197">
        <v>1</v>
      </c>
      <c r="T322" s="197">
        <v>2</v>
      </c>
      <c r="U322" s="197">
        <v>6</v>
      </c>
      <c r="V322" s="197">
        <v>0</v>
      </c>
      <c r="W322" s="197">
        <v>6</v>
      </c>
      <c r="X322" s="195">
        <v>0</v>
      </c>
      <c r="Y322" s="185">
        <v>3</v>
      </c>
      <c r="Z322" s="195">
        <v>0</v>
      </c>
      <c r="AA322" s="195">
        <v>0</v>
      </c>
      <c r="AB322" s="145" t="s">
        <v>239</v>
      </c>
      <c r="AC322" s="131"/>
      <c r="AD322" s="134"/>
      <c r="AE322" s="157"/>
      <c r="AF322" s="157"/>
      <c r="AG322" s="134"/>
      <c r="AH322" s="134"/>
      <c r="AI322" s="134"/>
      <c r="AJ322" s="139"/>
      <c r="AK322" s="136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  <c r="AY322"/>
      <c r="AZ322"/>
      <c r="BA322"/>
      <c r="BB322"/>
      <c r="BC322"/>
      <c r="BD322"/>
      <c r="BE322"/>
      <c r="BF322"/>
      <c r="BG322"/>
      <c r="BH322"/>
      <c r="BI322"/>
      <c r="BJ322"/>
      <c r="BK322"/>
      <c r="BL322"/>
      <c r="BM322"/>
      <c r="BN322"/>
      <c r="BO322"/>
      <c r="BP322"/>
      <c r="BQ322"/>
      <c r="BR322"/>
      <c r="BS322"/>
      <c r="BT322"/>
      <c r="BU322"/>
      <c r="BV322"/>
      <c r="BW322"/>
      <c r="BX322"/>
      <c r="BY322"/>
      <c r="BZ322"/>
      <c r="CA322"/>
      <c r="CB322"/>
      <c r="CC322"/>
      <c r="CD322"/>
      <c r="CE322"/>
      <c r="CF322"/>
      <c r="CG322"/>
    </row>
    <row r="323" spans="1:85" ht="76.5" customHeight="1">
      <c r="A323" s="30"/>
      <c r="B323" s="195"/>
      <c r="C323" s="195"/>
      <c r="D323" s="195"/>
      <c r="E323" s="195"/>
      <c r="F323" s="195"/>
      <c r="G323" s="195"/>
      <c r="H323" s="195"/>
      <c r="I323" s="195"/>
      <c r="J323" s="195"/>
      <c r="K323" s="195"/>
      <c r="L323" s="195"/>
      <c r="M323" s="195"/>
      <c r="N323" s="195"/>
      <c r="O323" s="195"/>
      <c r="P323" s="195"/>
      <c r="Q323" s="195"/>
      <c r="R323" s="195"/>
      <c r="S323" s="197">
        <v>1</v>
      </c>
      <c r="T323" s="197">
        <v>2</v>
      </c>
      <c r="U323" s="197">
        <v>6</v>
      </c>
      <c r="V323" s="197">
        <v>0</v>
      </c>
      <c r="W323" s="197">
        <v>6</v>
      </c>
      <c r="X323" s="195">
        <v>0</v>
      </c>
      <c r="Y323" s="185">
        <v>3</v>
      </c>
      <c r="Z323" s="195">
        <v>0</v>
      </c>
      <c r="AA323" s="195">
        <v>1</v>
      </c>
      <c r="AB323" s="66" t="s">
        <v>243</v>
      </c>
      <c r="AC323" s="50" t="s">
        <v>106</v>
      </c>
      <c r="AD323" s="95">
        <v>1500</v>
      </c>
      <c r="AE323" s="95">
        <v>1500</v>
      </c>
      <c r="AF323" s="95">
        <v>1500</v>
      </c>
      <c r="AG323" s="37">
        <v>1500</v>
      </c>
      <c r="AH323" s="37">
        <v>1500</v>
      </c>
      <c r="AI323" s="37">
        <v>1500</v>
      </c>
      <c r="AJ323" s="58">
        <f>SUM(AD323:AI323)</f>
        <v>9000</v>
      </c>
      <c r="AK323" s="49">
        <v>2027</v>
      </c>
      <c r="AL323"/>
      <c r="AM323"/>
      <c r="AN323"/>
      <c r="AO323"/>
      <c r="AP323"/>
      <c r="AQ323"/>
      <c r="AR323"/>
      <c r="AS323"/>
      <c r="AT323"/>
      <c r="AU323"/>
      <c r="AV323"/>
      <c r="AW323"/>
      <c r="AX323"/>
      <c r="AY323"/>
      <c r="AZ323"/>
      <c r="BA323"/>
      <c r="BB323"/>
      <c r="BC323"/>
      <c r="BD323"/>
      <c r="BE323"/>
      <c r="BF323"/>
      <c r="BG323"/>
      <c r="BH323"/>
      <c r="BI323"/>
      <c r="BJ323"/>
      <c r="BK323"/>
      <c r="BL323"/>
      <c r="BM323"/>
      <c r="BN323"/>
      <c r="BO323"/>
      <c r="BP323"/>
      <c r="BQ323"/>
      <c r="BR323"/>
      <c r="BS323"/>
      <c r="BT323"/>
      <c r="BU323"/>
      <c r="BV323"/>
      <c r="BW323"/>
      <c r="BX323"/>
      <c r="BY323"/>
      <c r="BZ323"/>
      <c r="CA323"/>
      <c r="CB323"/>
      <c r="CC323"/>
      <c r="CD323"/>
      <c r="CE323"/>
      <c r="CF323"/>
      <c r="CG323"/>
    </row>
    <row r="324" spans="1:85" ht="66" customHeight="1" hidden="1">
      <c r="A324" s="30"/>
      <c r="B324" s="43"/>
      <c r="C324" s="43"/>
      <c r="D324" s="43"/>
      <c r="E324" s="43"/>
      <c r="F324" s="43"/>
      <c r="G324" s="43"/>
      <c r="H324" s="43"/>
      <c r="I324" s="43"/>
      <c r="J324" s="43"/>
      <c r="K324" s="43"/>
      <c r="L324" s="43"/>
      <c r="M324" s="43"/>
      <c r="N324" s="43"/>
      <c r="O324" s="43"/>
      <c r="P324" s="43"/>
      <c r="Q324" s="43"/>
      <c r="R324" s="43"/>
      <c r="S324" s="68"/>
      <c r="T324" s="68"/>
      <c r="U324" s="68"/>
      <c r="V324" s="68"/>
      <c r="W324" s="68"/>
      <c r="X324" s="43"/>
      <c r="Y324" s="42"/>
      <c r="Z324" s="43"/>
      <c r="AA324" s="43"/>
      <c r="AB324" s="116"/>
      <c r="AC324" s="52"/>
      <c r="AD324" s="97"/>
      <c r="AE324" s="103"/>
      <c r="AF324" s="117"/>
      <c r="AG324" s="97"/>
      <c r="AH324" s="97"/>
      <c r="AI324" s="97"/>
      <c r="AJ324" s="117"/>
      <c r="AK324" s="87"/>
      <c r="AL324"/>
      <c r="AM324"/>
      <c r="AN324"/>
      <c r="AO324"/>
      <c r="AP324"/>
      <c r="AQ324"/>
      <c r="AR324"/>
      <c r="AS324"/>
      <c r="AT324"/>
      <c r="AU324"/>
      <c r="AV324"/>
      <c r="AW324"/>
      <c r="AX324"/>
      <c r="AY324"/>
      <c r="AZ324"/>
      <c r="BA324"/>
      <c r="BB324"/>
      <c r="BC324"/>
      <c r="BD324"/>
      <c r="BE324"/>
      <c r="BF324"/>
      <c r="BG324"/>
      <c r="BH324"/>
      <c r="BI324"/>
      <c r="BJ324"/>
      <c r="BK324"/>
      <c r="BL324"/>
      <c r="BM324"/>
      <c r="BN324"/>
      <c r="BO324"/>
      <c r="BP324"/>
      <c r="BQ324"/>
      <c r="BR324"/>
      <c r="BS324"/>
      <c r="BT324"/>
      <c r="BU324"/>
      <c r="BV324"/>
      <c r="BW324"/>
      <c r="BX324"/>
      <c r="BY324"/>
      <c r="BZ324"/>
      <c r="CA324"/>
      <c r="CB324"/>
      <c r="CC324"/>
      <c r="CD324"/>
      <c r="CE324"/>
      <c r="CF324"/>
      <c r="CG324"/>
    </row>
    <row r="325" spans="1:85" ht="50.25" customHeight="1" hidden="1">
      <c r="A325" s="30"/>
      <c r="B325" s="43"/>
      <c r="C325" s="43"/>
      <c r="D325" s="43"/>
      <c r="E325" s="43"/>
      <c r="F325" s="43"/>
      <c r="G325" s="43"/>
      <c r="H325" s="43"/>
      <c r="I325" s="43"/>
      <c r="J325" s="43"/>
      <c r="K325" s="43"/>
      <c r="L325" s="43"/>
      <c r="M325" s="43"/>
      <c r="N325" s="43"/>
      <c r="O325" s="43"/>
      <c r="P325" s="43"/>
      <c r="Q325" s="43"/>
      <c r="R325" s="43"/>
      <c r="S325" s="68"/>
      <c r="T325" s="68"/>
      <c r="U325" s="68"/>
      <c r="V325" s="68"/>
      <c r="W325" s="68"/>
      <c r="X325" s="43"/>
      <c r="Y325" s="42"/>
      <c r="Z325" s="43"/>
      <c r="AA325" s="43"/>
      <c r="AB325" s="66"/>
      <c r="AC325" s="50"/>
      <c r="AD325" s="37"/>
      <c r="AE325" s="95"/>
      <c r="AF325" s="95"/>
      <c r="AG325" s="37"/>
      <c r="AH325" s="37"/>
      <c r="AI325" s="37"/>
      <c r="AJ325" s="58"/>
      <c r="AK325" s="49"/>
      <c r="AL325"/>
      <c r="AM325"/>
      <c r="AN325"/>
      <c r="AO325"/>
      <c r="AP325"/>
      <c r="AQ325"/>
      <c r="AR325"/>
      <c r="AS325"/>
      <c r="AT325"/>
      <c r="AU325"/>
      <c r="AV325"/>
      <c r="AW325"/>
      <c r="AX325"/>
      <c r="AY325"/>
      <c r="AZ325"/>
      <c r="BA325"/>
      <c r="BB325"/>
      <c r="BC325"/>
      <c r="BD325"/>
      <c r="BE325"/>
      <c r="BF325"/>
      <c r="BG325"/>
      <c r="BH325"/>
      <c r="BI325"/>
      <c r="BJ325"/>
      <c r="BK325"/>
      <c r="BL325"/>
      <c r="BM325"/>
      <c r="BN325"/>
      <c r="BO325"/>
      <c r="BP325"/>
      <c r="BQ325"/>
      <c r="BR325"/>
      <c r="BS325"/>
      <c r="BT325"/>
      <c r="BU325"/>
      <c r="BV325"/>
      <c r="BW325"/>
      <c r="BX325"/>
      <c r="BY325"/>
      <c r="BZ325"/>
      <c r="CA325"/>
      <c r="CB325"/>
      <c r="CC325"/>
      <c r="CD325"/>
      <c r="CE325"/>
      <c r="CF325"/>
      <c r="CG325"/>
    </row>
    <row r="326" spans="1:85" ht="60.75" customHeight="1">
      <c r="A326" s="30"/>
      <c r="B326" s="228"/>
      <c r="C326" s="228"/>
      <c r="D326" s="228"/>
      <c r="E326" s="228"/>
      <c r="F326" s="228"/>
      <c r="G326" s="228"/>
      <c r="H326" s="228"/>
      <c r="I326" s="228"/>
      <c r="J326" s="228"/>
      <c r="K326" s="228"/>
      <c r="L326" s="228"/>
      <c r="M326" s="228"/>
      <c r="N326" s="228"/>
      <c r="O326" s="228"/>
      <c r="P326" s="228"/>
      <c r="Q326" s="228"/>
      <c r="R326" s="228"/>
      <c r="S326" s="228"/>
      <c r="T326" s="228"/>
      <c r="U326" s="228"/>
      <c r="V326" s="228"/>
      <c r="W326" s="228"/>
      <c r="X326" s="228"/>
      <c r="Y326" s="228"/>
      <c r="Z326" s="228"/>
      <c r="AA326" s="228"/>
      <c r="AB326" s="228"/>
      <c r="AC326" s="228"/>
      <c r="AD326" s="228"/>
      <c r="AE326" s="228"/>
      <c r="AF326" s="228"/>
      <c r="AG326" s="228"/>
      <c r="AH326" s="228"/>
      <c r="AI326" s="228"/>
      <c r="AJ326" s="228"/>
      <c r="AK326" s="228"/>
      <c r="AL326"/>
      <c r="AM326"/>
      <c r="AN326"/>
      <c r="AO326"/>
      <c r="AP326"/>
      <c r="AQ326"/>
      <c r="AR326"/>
      <c r="AS326"/>
      <c r="AT326"/>
      <c r="AU326"/>
      <c r="AV326"/>
      <c r="AW326"/>
      <c r="AX326"/>
      <c r="AY326"/>
      <c r="AZ326"/>
      <c r="BA326"/>
      <c r="BB326"/>
      <c r="BC326"/>
      <c r="BD326"/>
      <c r="BE326"/>
      <c r="BF326"/>
      <c r="BG326"/>
      <c r="BH326"/>
      <c r="BI326"/>
      <c r="BJ326"/>
      <c r="BK326"/>
      <c r="BL326"/>
      <c r="BM326"/>
      <c r="BN326"/>
      <c r="BO326"/>
      <c r="BP326"/>
      <c r="BQ326"/>
      <c r="BR326"/>
      <c r="BS326"/>
      <c r="BT326"/>
      <c r="BU326"/>
      <c r="BV326"/>
      <c r="BW326"/>
      <c r="BX326"/>
      <c r="BY326"/>
      <c r="BZ326"/>
      <c r="CA326"/>
      <c r="CB326"/>
      <c r="CC326"/>
      <c r="CD326"/>
      <c r="CE326"/>
      <c r="CF326"/>
      <c r="CG326"/>
    </row>
    <row r="327" spans="1:85" ht="1.5" customHeight="1">
      <c r="A327" s="30"/>
      <c r="B327" s="228"/>
      <c r="C327" s="228"/>
      <c r="D327" s="228"/>
      <c r="E327" s="228"/>
      <c r="F327" s="228"/>
      <c r="G327" s="228"/>
      <c r="H327" s="228"/>
      <c r="I327" s="228"/>
      <c r="J327" s="228"/>
      <c r="K327" s="228"/>
      <c r="L327" s="228"/>
      <c r="M327" s="228"/>
      <c r="N327" s="228"/>
      <c r="O327" s="228"/>
      <c r="P327" s="228"/>
      <c r="Q327" s="228"/>
      <c r="R327" s="228"/>
      <c r="S327" s="228"/>
      <c r="T327" s="228"/>
      <c r="U327" s="228"/>
      <c r="V327" s="228"/>
      <c r="W327" s="228"/>
      <c r="X327" s="228"/>
      <c r="Y327" s="228"/>
      <c r="Z327" s="228"/>
      <c r="AA327" s="228"/>
      <c r="AB327" s="228"/>
      <c r="AC327" s="228"/>
      <c r="AD327" s="228"/>
      <c r="AE327" s="228"/>
      <c r="AF327" s="228"/>
      <c r="AG327" s="228"/>
      <c r="AH327" s="228"/>
      <c r="AI327" s="228"/>
      <c r="AJ327" s="228"/>
      <c r="AK327" s="228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  <c r="AY327"/>
      <c r="AZ327"/>
      <c r="BA327"/>
      <c r="BB327"/>
      <c r="BC327"/>
      <c r="BD327"/>
      <c r="BE327"/>
      <c r="BF327"/>
      <c r="BG327"/>
      <c r="BH327"/>
      <c r="BI327"/>
      <c r="BJ327"/>
      <c r="BK327"/>
      <c r="BL327"/>
      <c r="BM327"/>
      <c r="BN327"/>
      <c r="BO327"/>
      <c r="BP327"/>
      <c r="BQ327"/>
      <c r="BR327"/>
      <c r="BS327"/>
      <c r="BT327"/>
      <c r="BU327"/>
      <c r="BV327"/>
      <c r="BW327"/>
      <c r="BX327"/>
      <c r="BY327"/>
      <c r="BZ327"/>
      <c r="CA327"/>
      <c r="CB327"/>
      <c r="CC327"/>
      <c r="CD327"/>
      <c r="CE327"/>
      <c r="CF327"/>
      <c r="CG327"/>
    </row>
    <row r="328" spans="1:85" ht="37.5" customHeight="1" hidden="1">
      <c r="A328" s="30"/>
      <c r="B328" s="228"/>
      <c r="C328" s="228"/>
      <c r="D328" s="228"/>
      <c r="E328" s="228"/>
      <c r="F328" s="228"/>
      <c r="G328" s="228"/>
      <c r="H328" s="228"/>
      <c r="I328" s="228"/>
      <c r="J328" s="228"/>
      <c r="K328" s="228"/>
      <c r="L328" s="228"/>
      <c r="M328" s="228"/>
      <c r="N328" s="228"/>
      <c r="O328" s="228"/>
      <c r="P328" s="228"/>
      <c r="Q328" s="228"/>
      <c r="R328" s="228"/>
      <c r="S328" s="228"/>
      <c r="T328" s="228"/>
      <c r="U328" s="228"/>
      <c r="V328" s="228"/>
      <c r="W328" s="228"/>
      <c r="X328" s="228"/>
      <c r="Y328" s="228"/>
      <c r="Z328" s="228"/>
      <c r="AA328" s="228"/>
      <c r="AB328" s="228"/>
      <c r="AC328" s="228"/>
      <c r="AD328" s="228"/>
      <c r="AE328" s="228"/>
      <c r="AF328" s="228"/>
      <c r="AG328" s="228"/>
      <c r="AH328" s="228"/>
      <c r="AI328" s="228"/>
      <c r="AJ328" s="228"/>
      <c r="AK328" s="228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  <c r="AY328"/>
      <c r="AZ328"/>
      <c r="BA328"/>
      <c r="BB328"/>
      <c r="BC328"/>
      <c r="BD328"/>
      <c r="BE328"/>
      <c r="BF328"/>
      <c r="BG328"/>
      <c r="BH328"/>
      <c r="BI328"/>
      <c r="BJ328"/>
      <c r="BK328"/>
      <c r="BL328"/>
      <c r="BM328"/>
      <c r="BN328"/>
      <c r="BO328"/>
      <c r="BP328"/>
      <c r="BQ328"/>
      <c r="BR328"/>
      <c r="BS328"/>
      <c r="BT328"/>
      <c r="BU328"/>
      <c r="BV328"/>
      <c r="BW328"/>
      <c r="BX328"/>
      <c r="BY328"/>
      <c r="BZ328"/>
      <c r="CA328"/>
      <c r="CB328"/>
      <c r="CC328"/>
      <c r="CD328"/>
      <c r="CE328"/>
      <c r="CF328"/>
      <c r="CG328"/>
    </row>
    <row r="329" spans="1:85" ht="15" hidden="1">
      <c r="A329" s="30"/>
      <c r="B329" s="228"/>
      <c r="C329" s="228"/>
      <c r="D329" s="228"/>
      <c r="E329" s="228"/>
      <c r="F329" s="228"/>
      <c r="G329" s="228"/>
      <c r="H329" s="228"/>
      <c r="I329" s="228"/>
      <c r="J329" s="228"/>
      <c r="K329" s="228"/>
      <c r="L329" s="228"/>
      <c r="M329" s="228"/>
      <c r="N329" s="228"/>
      <c r="O329" s="228"/>
      <c r="P329" s="228"/>
      <c r="Q329" s="228"/>
      <c r="R329" s="228"/>
      <c r="S329" s="228"/>
      <c r="T329" s="228"/>
      <c r="U329" s="228"/>
      <c r="V329" s="228"/>
      <c r="W329" s="228"/>
      <c r="X329" s="228"/>
      <c r="Y329" s="228"/>
      <c r="Z329" s="228"/>
      <c r="AA329" s="228"/>
      <c r="AB329" s="228"/>
      <c r="AC329" s="228"/>
      <c r="AD329" s="228"/>
      <c r="AE329" s="228"/>
      <c r="AF329" s="228"/>
      <c r="AG329" s="228"/>
      <c r="AH329" s="228"/>
      <c r="AI329" s="228"/>
      <c r="AJ329" s="228"/>
      <c r="AK329" s="228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  <c r="AY329"/>
      <c r="AZ329"/>
      <c r="BA329"/>
      <c r="BB329"/>
      <c r="BC329"/>
      <c r="BD329"/>
      <c r="BE329"/>
      <c r="BF329"/>
      <c r="BG329"/>
      <c r="BH329"/>
      <c r="BI329"/>
      <c r="BJ329"/>
      <c r="BK329"/>
      <c r="BL329"/>
      <c r="BM329"/>
      <c r="BN329"/>
      <c r="BO329"/>
      <c r="BP329"/>
      <c r="BQ329"/>
      <c r="BR329"/>
      <c r="BS329"/>
      <c r="BT329"/>
      <c r="BU329"/>
      <c r="BV329"/>
      <c r="BW329"/>
      <c r="BX329"/>
      <c r="BY329"/>
      <c r="BZ329"/>
      <c r="CA329"/>
      <c r="CB329"/>
      <c r="CC329"/>
      <c r="CD329"/>
      <c r="CE329"/>
      <c r="CF329"/>
      <c r="CG329"/>
    </row>
    <row r="330" spans="1:85" ht="15">
      <c r="A330" s="30"/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46"/>
      <c r="S330" s="47"/>
      <c r="T330" s="47"/>
      <c r="U330" s="47"/>
      <c r="V330" s="46"/>
      <c r="W330" s="46"/>
      <c r="X330" s="46"/>
      <c r="Y330" s="47"/>
      <c r="Z330" s="47"/>
      <c r="AA330" s="47"/>
      <c r="AB330" s="9"/>
      <c r="AC330" s="9"/>
      <c r="AD330" s="9"/>
      <c r="AE330" s="30"/>
      <c r="AF330" s="30"/>
      <c r="AG330" s="30"/>
      <c r="AH330" s="30"/>
      <c r="AI330" s="30"/>
      <c r="AJ330" s="59"/>
      <c r="AK330" s="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  <c r="AY330"/>
      <c r="AZ330"/>
      <c r="BA330"/>
      <c r="BB330"/>
      <c r="BC330"/>
      <c r="BD330"/>
      <c r="BE330"/>
      <c r="BF330"/>
      <c r="BG330"/>
      <c r="BH330"/>
      <c r="BI330"/>
      <c r="BJ330"/>
      <c r="BK330"/>
      <c r="BL330"/>
      <c r="BM330"/>
      <c r="BN330"/>
      <c r="BO330"/>
      <c r="BP330"/>
      <c r="BQ330"/>
      <c r="BR330"/>
      <c r="BS330"/>
      <c r="BT330"/>
      <c r="BU330"/>
      <c r="BV330"/>
      <c r="BW330"/>
      <c r="BX330"/>
      <c r="BY330"/>
      <c r="BZ330"/>
      <c r="CA330"/>
      <c r="CB330"/>
      <c r="CC330"/>
      <c r="CD330"/>
      <c r="CE330"/>
      <c r="CF330"/>
      <c r="CG330"/>
    </row>
    <row r="331" spans="1:85" ht="15">
      <c r="A331" s="30"/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46"/>
      <c r="S331" s="47"/>
      <c r="T331" s="47"/>
      <c r="U331" s="47"/>
      <c r="V331" s="47"/>
      <c r="W331" s="47"/>
      <c r="X331" s="47"/>
      <c r="Y331" s="47"/>
      <c r="Z331" s="47"/>
      <c r="AA331" s="47"/>
      <c r="AB331" s="9"/>
      <c r="AC331" s="9"/>
      <c r="AD331" s="9"/>
      <c r="AE331" s="30"/>
      <c r="AF331" s="30"/>
      <c r="AG331" s="30"/>
      <c r="AH331" s="30"/>
      <c r="AI331" s="30"/>
      <c r="AJ331" s="59"/>
      <c r="AK331" s="30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  <c r="AY331"/>
      <c r="AZ331"/>
      <c r="BA331"/>
      <c r="BB331"/>
      <c r="BC331"/>
      <c r="BD331"/>
      <c r="BE331"/>
      <c r="BF331"/>
      <c r="BG331"/>
      <c r="BH331"/>
      <c r="BI331"/>
      <c r="BJ331"/>
      <c r="BK331"/>
      <c r="BL331"/>
      <c r="BM331"/>
      <c r="BN331"/>
      <c r="BO331"/>
      <c r="BP331"/>
      <c r="BQ331"/>
      <c r="BR331"/>
      <c r="BS331"/>
      <c r="BT331"/>
      <c r="BU331"/>
      <c r="BV331"/>
      <c r="BW331"/>
      <c r="BX331"/>
      <c r="BY331"/>
      <c r="BZ331"/>
      <c r="CA331"/>
      <c r="CB331"/>
      <c r="CC331"/>
      <c r="CD331"/>
      <c r="CE331"/>
      <c r="CF331"/>
      <c r="CG331"/>
    </row>
    <row r="332" spans="1:85" ht="15">
      <c r="A332" s="30"/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46"/>
      <c r="S332" s="47"/>
      <c r="T332" s="47"/>
      <c r="U332" s="47"/>
      <c r="V332" s="47"/>
      <c r="W332" s="47"/>
      <c r="X332" s="47"/>
      <c r="Y332" s="47"/>
      <c r="Z332" s="47"/>
      <c r="AA332" s="47"/>
      <c r="AB332" s="9"/>
      <c r="AC332" s="9"/>
      <c r="AD332" s="9"/>
      <c r="AE332" s="30"/>
      <c r="AF332" s="30"/>
      <c r="AG332" s="30"/>
      <c r="AH332" s="30"/>
      <c r="AI332" s="30"/>
      <c r="AJ332" s="59"/>
      <c r="AK332" s="30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AY332"/>
      <c r="AZ332"/>
      <c r="BA332"/>
      <c r="BB332"/>
      <c r="BC332"/>
      <c r="BD332"/>
      <c r="BE332"/>
      <c r="BF332"/>
      <c r="BG332"/>
      <c r="BH332"/>
      <c r="BI332"/>
      <c r="BJ332"/>
      <c r="BK332"/>
      <c r="BL332"/>
      <c r="BM332"/>
      <c r="BN332"/>
      <c r="BO332"/>
      <c r="BP332"/>
      <c r="BQ332"/>
      <c r="BR332"/>
      <c r="BS332"/>
      <c r="BT332"/>
      <c r="BU332"/>
      <c r="BV332"/>
      <c r="BW332"/>
      <c r="BX332"/>
      <c r="BY332"/>
      <c r="BZ332"/>
      <c r="CA332"/>
      <c r="CB332"/>
      <c r="CC332"/>
      <c r="CD332"/>
      <c r="CE332"/>
      <c r="CF332"/>
      <c r="CG332"/>
    </row>
    <row r="333" spans="1:85" ht="15">
      <c r="A333" s="30"/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46"/>
      <c r="S333" s="47"/>
      <c r="T333" s="47"/>
      <c r="U333" s="47"/>
      <c r="V333" s="47"/>
      <c r="W333" s="47"/>
      <c r="X333" s="47"/>
      <c r="Y333" s="47"/>
      <c r="Z333" s="47"/>
      <c r="AA333" s="47"/>
      <c r="AB333" s="9"/>
      <c r="AC333" s="9"/>
      <c r="AD333" s="9"/>
      <c r="AE333" s="30"/>
      <c r="AF333" s="30"/>
      <c r="AG333" s="30"/>
      <c r="AH333" s="30"/>
      <c r="AI333" s="30"/>
      <c r="AJ333" s="59"/>
      <c r="AK333" s="30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AY333"/>
      <c r="AZ333"/>
      <c r="BA333"/>
      <c r="BB333"/>
      <c r="BC333"/>
      <c r="BD333"/>
      <c r="BE333"/>
      <c r="BF333"/>
      <c r="BG333"/>
      <c r="BH333"/>
      <c r="BI333"/>
      <c r="BJ333"/>
      <c r="BK333"/>
      <c r="BL333"/>
      <c r="BM333"/>
      <c r="BN333"/>
      <c r="BO333"/>
      <c r="BP333"/>
      <c r="BQ333"/>
      <c r="BR333"/>
      <c r="BS333"/>
      <c r="BT333"/>
      <c r="BU333"/>
      <c r="BV333"/>
      <c r="BW333"/>
      <c r="BX333"/>
      <c r="BY333"/>
      <c r="BZ333"/>
      <c r="CA333"/>
      <c r="CB333"/>
      <c r="CC333"/>
      <c r="CD333"/>
      <c r="CE333"/>
      <c r="CF333"/>
      <c r="CG333"/>
    </row>
    <row r="334" spans="1:85" ht="15">
      <c r="A334" s="30"/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46"/>
      <c r="S334" s="47"/>
      <c r="T334" s="47"/>
      <c r="U334" s="47"/>
      <c r="V334" s="47"/>
      <c r="W334" s="47"/>
      <c r="X334" s="47"/>
      <c r="Y334" s="47"/>
      <c r="Z334" s="47"/>
      <c r="AA334" s="47"/>
      <c r="AB334" s="9"/>
      <c r="AC334" s="9"/>
      <c r="AD334" s="9"/>
      <c r="AE334" s="30"/>
      <c r="AF334" s="30"/>
      <c r="AG334" s="30"/>
      <c r="AH334" s="30"/>
      <c r="AI334" s="30"/>
      <c r="AJ334" s="59"/>
      <c r="AK334" s="30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  <c r="AY334"/>
      <c r="AZ334"/>
      <c r="BA334"/>
      <c r="BB334"/>
      <c r="BC334"/>
      <c r="BD334"/>
      <c r="BE334"/>
      <c r="BF334"/>
      <c r="BG334"/>
      <c r="BH334"/>
      <c r="BI334"/>
      <c r="BJ334"/>
      <c r="BK334"/>
      <c r="BL334"/>
      <c r="BM334"/>
      <c r="BN334"/>
      <c r="BO334"/>
      <c r="BP334"/>
      <c r="BQ334"/>
      <c r="BR334"/>
      <c r="BS334"/>
      <c r="BT334"/>
      <c r="BU334"/>
      <c r="BV334"/>
      <c r="BW334"/>
      <c r="BX334"/>
      <c r="BY334"/>
      <c r="BZ334"/>
      <c r="CA334"/>
      <c r="CB334"/>
      <c r="CC334"/>
      <c r="CD334"/>
      <c r="CE334"/>
      <c r="CF334"/>
      <c r="CG334"/>
    </row>
    <row r="335" spans="1:85" ht="15">
      <c r="A335" s="30"/>
      <c r="B335" s="11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46"/>
      <c r="S335" s="47"/>
      <c r="T335" s="47"/>
      <c r="U335" s="47"/>
      <c r="V335" s="47"/>
      <c r="W335" s="47"/>
      <c r="X335" s="47"/>
      <c r="Y335" s="47"/>
      <c r="Z335" s="47"/>
      <c r="AA335" s="47"/>
      <c r="AB335" s="9"/>
      <c r="AC335" s="9"/>
      <c r="AD335" s="9"/>
      <c r="AE335" s="30"/>
      <c r="AF335" s="30"/>
      <c r="AG335" s="30"/>
      <c r="AH335" s="30"/>
      <c r="AI335" s="30"/>
      <c r="AJ335" s="59"/>
      <c r="AK335" s="30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  <c r="AY335"/>
      <c r="AZ335"/>
      <c r="BA335"/>
      <c r="BB335"/>
      <c r="BC335"/>
      <c r="BD335"/>
      <c r="BE335"/>
      <c r="BF335"/>
      <c r="BG335"/>
      <c r="BH335"/>
      <c r="BI335"/>
      <c r="BJ335"/>
      <c r="BK335"/>
      <c r="BL335"/>
      <c r="BM335"/>
      <c r="BN335"/>
      <c r="BO335"/>
      <c r="BP335"/>
      <c r="BQ335"/>
      <c r="BR335"/>
      <c r="BS335"/>
      <c r="BT335"/>
      <c r="BU335"/>
      <c r="BV335"/>
      <c r="BW335"/>
      <c r="BX335"/>
      <c r="BY335"/>
      <c r="BZ335"/>
      <c r="CA335"/>
      <c r="CB335"/>
      <c r="CC335"/>
      <c r="CD335"/>
      <c r="CE335"/>
      <c r="CF335"/>
      <c r="CG335"/>
    </row>
    <row r="336" spans="1:85" ht="15">
      <c r="A336" s="30"/>
      <c r="B336" s="30"/>
      <c r="C336" s="30"/>
      <c r="D336" s="30"/>
      <c r="E336" s="30"/>
      <c r="F336" s="30"/>
      <c r="G336" s="30"/>
      <c r="H336" s="30"/>
      <c r="I336" s="30"/>
      <c r="J336" s="30"/>
      <c r="K336" s="30"/>
      <c r="L336" s="30"/>
      <c r="M336" s="30"/>
      <c r="N336" s="30"/>
      <c r="O336" s="30"/>
      <c r="P336" s="11"/>
      <c r="Q336" s="11"/>
      <c r="R336" s="46"/>
      <c r="S336" s="47"/>
      <c r="T336" s="47"/>
      <c r="U336" s="47"/>
      <c r="V336" s="47"/>
      <c r="W336" s="47"/>
      <c r="X336" s="47"/>
      <c r="Y336" s="47"/>
      <c r="Z336" s="47"/>
      <c r="AA336" s="47"/>
      <c r="AB336" s="9"/>
      <c r="AC336" s="9"/>
      <c r="AD336" s="9"/>
      <c r="AE336" s="30"/>
      <c r="AF336" s="30"/>
      <c r="AG336" s="30"/>
      <c r="AH336" s="30"/>
      <c r="AI336" s="30"/>
      <c r="AJ336" s="59"/>
      <c r="AK336" s="30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  <c r="AY336"/>
      <c r="AZ336"/>
      <c r="BA336"/>
      <c r="BB336"/>
      <c r="BC336"/>
      <c r="BD336"/>
      <c r="BE336"/>
      <c r="BF336"/>
      <c r="BG336"/>
      <c r="BH336"/>
      <c r="BI336"/>
      <c r="BJ336"/>
      <c r="BK336"/>
      <c r="BL336"/>
      <c r="BM336"/>
      <c r="BN336"/>
      <c r="BO336"/>
      <c r="BP336"/>
      <c r="BQ336"/>
      <c r="BR336"/>
      <c r="BS336"/>
      <c r="BT336"/>
      <c r="BU336"/>
      <c r="BV336"/>
      <c r="BW336"/>
      <c r="BX336"/>
      <c r="BY336"/>
      <c r="BZ336"/>
      <c r="CA336"/>
      <c r="CB336"/>
      <c r="CC336"/>
      <c r="CD336"/>
      <c r="CE336"/>
      <c r="CF336"/>
      <c r="CG336"/>
    </row>
    <row r="337" spans="1:85" ht="15">
      <c r="A337" s="30"/>
      <c r="B337" s="30"/>
      <c r="C337" s="30"/>
      <c r="D337" s="30"/>
      <c r="E337" s="30"/>
      <c r="F337" s="30"/>
      <c r="G337" s="30"/>
      <c r="H337" s="30"/>
      <c r="I337" s="30"/>
      <c r="J337" s="30"/>
      <c r="K337" s="30"/>
      <c r="L337" s="30"/>
      <c r="M337" s="30"/>
      <c r="N337" s="30"/>
      <c r="O337" s="30"/>
      <c r="P337" s="30"/>
      <c r="Q337" s="30"/>
      <c r="R337" s="47"/>
      <c r="S337" s="47"/>
      <c r="T337" s="47"/>
      <c r="U337" s="47"/>
      <c r="V337" s="47"/>
      <c r="W337" s="47"/>
      <c r="X337" s="47"/>
      <c r="Y337" s="47"/>
      <c r="Z337" s="47"/>
      <c r="AA337" s="47"/>
      <c r="AB337" s="9"/>
      <c r="AC337" s="9"/>
      <c r="AD337" s="9"/>
      <c r="AE337" s="30"/>
      <c r="AF337" s="30"/>
      <c r="AG337" s="30"/>
      <c r="AH337" s="30"/>
      <c r="AI337" s="30"/>
      <c r="AJ337" s="59"/>
      <c r="AK337" s="30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  <c r="AY337"/>
      <c r="AZ337"/>
      <c r="BA337"/>
      <c r="BB337"/>
      <c r="BC337"/>
      <c r="BD337"/>
      <c r="BE337"/>
      <c r="BF337"/>
      <c r="BG337"/>
      <c r="BH337"/>
      <c r="BI337"/>
      <c r="BJ337"/>
      <c r="BK337"/>
      <c r="BL337"/>
      <c r="BM337"/>
      <c r="BN337"/>
      <c r="BO337"/>
      <c r="BP337"/>
      <c r="BQ337"/>
      <c r="BR337"/>
      <c r="BS337"/>
      <c r="BT337"/>
      <c r="BU337"/>
      <c r="BV337"/>
      <c r="BW337"/>
      <c r="BX337"/>
      <c r="BY337"/>
      <c r="BZ337"/>
      <c r="CA337"/>
      <c r="CB337"/>
      <c r="CC337"/>
      <c r="CD337"/>
      <c r="CE337"/>
      <c r="CF337"/>
      <c r="CG337"/>
    </row>
    <row r="338" spans="1:85" ht="15">
      <c r="A338" s="30"/>
      <c r="B338" s="30"/>
      <c r="C338" s="30"/>
      <c r="D338" s="30"/>
      <c r="E338" s="30"/>
      <c r="F338" s="30"/>
      <c r="G338" s="30"/>
      <c r="H338" s="30"/>
      <c r="I338" s="30"/>
      <c r="J338" s="30"/>
      <c r="K338" s="30"/>
      <c r="L338" s="30"/>
      <c r="M338" s="30"/>
      <c r="N338" s="30"/>
      <c r="O338" s="30"/>
      <c r="P338" s="30"/>
      <c r="Q338" s="30"/>
      <c r="R338" s="47"/>
      <c r="S338" s="47"/>
      <c r="T338" s="47"/>
      <c r="U338" s="47"/>
      <c r="V338" s="47"/>
      <c r="W338" s="47"/>
      <c r="X338" s="47"/>
      <c r="Y338" s="47"/>
      <c r="Z338" s="47"/>
      <c r="AA338" s="47"/>
      <c r="AB338" s="9"/>
      <c r="AC338" s="9"/>
      <c r="AD338" s="9"/>
      <c r="AE338" s="30"/>
      <c r="AF338" s="30"/>
      <c r="AG338" s="30"/>
      <c r="AH338" s="30"/>
      <c r="AI338" s="30"/>
      <c r="AJ338" s="59"/>
      <c r="AK338" s="30"/>
      <c r="AL338"/>
      <c r="AM338"/>
      <c r="AN338"/>
      <c r="AO338"/>
      <c r="AP338"/>
      <c r="AQ338"/>
      <c r="AR338"/>
      <c r="AS338"/>
      <c r="AT338"/>
      <c r="AU338"/>
      <c r="AV338"/>
      <c r="AW338"/>
      <c r="AX338"/>
      <c r="AY338"/>
      <c r="AZ338"/>
      <c r="BA338"/>
      <c r="BB338"/>
      <c r="BC338"/>
      <c r="BD338"/>
      <c r="BE338"/>
      <c r="BF338"/>
      <c r="BG338"/>
      <c r="BH338"/>
      <c r="BI338"/>
      <c r="BJ338"/>
      <c r="BK338"/>
      <c r="BL338"/>
      <c r="BM338"/>
      <c r="BN338"/>
      <c r="BO338"/>
      <c r="BP338"/>
      <c r="BQ338"/>
      <c r="BR338"/>
      <c r="BS338"/>
      <c r="BT338"/>
      <c r="BU338"/>
      <c r="BV338"/>
      <c r="BW338"/>
      <c r="BX338"/>
      <c r="BY338"/>
      <c r="BZ338"/>
      <c r="CA338"/>
      <c r="CB338"/>
      <c r="CC338"/>
      <c r="CD338"/>
      <c r="CE338"/>
      <c r="CF338"/>
      <c r="CG338"/>
    </row>
    <row r="339" spans="1:85" ht="15">
      <c r="A339" s="30"/>
      <c r="B339" s="30"/>
      <c r="C339" s="30"/>
      <c r="D339" s="30"/>
      <c r="E339" s="30"/>
      <c r="F339" s="30"/>
      <c r="G339" s="30"/>
      <c r="H339" s="30"/>
      <c r="I339" s="30"/>
      <c r="J339" s="30"/>
      <c r="K339" s="30"/>
      <c r="L339" s="30"/>
      <c r="M339" s="30"/>
      <c r="N339" s="30"/>
      <c r="O339" s="30"/>
      <c r="P339" s="30"/>
      <c r="Q339" s="30"/>
      <c r="R339" s="47"/>
      <c r="S339" s="47"/>
      <c r="T339" s="47"/>
      <c r="U339" s="47"/>
      <c r="V339" s="47"/>
      <c r="W339" s="47"/>
      <c r="X339" s="47"/>
      <c r="Y339" s="47"/>
      <c r="Z339" s="47"/>
      <c r="AA339" s="47"/>
      <c r="AB339" s="9"/>
      <c r="AC339" s="9"/>
      <c r="AD339" s="9"/>
      <c r="AE339" s="30"/>
      <c r="AF339" s="30"/>
      <c r="AG339" s="30"/>
      <c r="AH339" s="30"/>
      <c r="AI339" s="30"/>
      <c r="AJ339" s="59"/>
      <c r="AK339" s="30"/>
      <c r="AL339"/>
      <c r="AM339"/>
      <c r="AN339"/>
      <c r="AO339"/>
      <c r="AP339"/>
      <c r="AQ339"/>
      <c r="AR339"/>
      <c r="AS339"/>
      <c r="AT339"/>
      <c r="AU339"/>
      <c r="AV339"/>
      <c r="AW339"/>
      <c r="AX339"/>
      <c r="AY339"/>
      <c r="AZ339"/>
      <c r="BA339"/>
      <c r="BB339"/>
      <c r="BC339"/>
      <c r="BD339"/>
      <c r="BE339"/>
      <c r="BF339"/>
      <c r="BG339"/>
      <c r="BH339"/>
      <c r="BI339"/>
      <c r="BJ339"/>
      <c r="BK339"/>
      <c r="BL339"/>
      <c r="BM339"/>
      <c r="BN339"/>
      <c r="BO339"/>
      <c r="BP339"/>
      <c r="BQ339"/>
      <c r="BR339"/>
      <c r="BS339"/>
      <c r="BT339"/>
      <c r="BU339"/>
      <c r="BV339"/>
      <c r="BW339"/>
      <c r="BX339"/>
      <c r="BY339"/>
      <c r="BZ339"/>
      <c r="CA339"/>
      <c r="CB339"/>
      <c r="CC339"/>
      <c r="CD339"/>
      <c r="CE339"/>
      <c r="CF339"/>
      <c r="CG339"/>
    </row>
    <row r="340" spans="1:85" ht="15">
      <c r="A340" s="30"/>
      <c r="B340" s="30"/>
      <c r="C340" s="30"/>
      <c r="D340" s="30"/>
      <c r="E340" s="30"/>
      <c r="F340" s="30"/>
      <c r="G340" s="30"/>
      <c r="H340" s="30"/>
      <c r="I340" s="30"/>
      <c r="J340" s="30"/>
      <c r="K340" s="30"/>
      <c r="L340" s="30"/>
      <c r="M340" s="30"/>
      <c r="N340" s="30"/>
      <c r="O340" s="30"/>
      <c r="P340" s="30"/>
      <c r="Q340" s="30"/>
      <c r="R340" s="47"/>
      <c r="S340" s="47"/>
      <c r="T340" s="47"/>
      <c r="U340" s="47"/>
      <c r="V340" s="47"/>
      <c r="W340" s="47"/>
      <c r="X340" s="47"/>
      <c r="Y340" s="47"/>
      <c r="Z340" s="47"/>
      <c r="AA340" s="47"/>
      <c r="AB340" s="9"/>
      <c r="AC340" s="9"/>
      <c r="AD340" s="9"/>
      <c r="AE340" s="30"/>
      <c r="AF340" s="30"/>
      <c r="AG340" s="30"/>
      <c r="AH340" s="30"/>
      <c r="AI340" s="30"/>
      <c r="AJ340" s="59"/>
      <c r="AK340" s="30"/>
      <c r="AL340"/>
      <c r="AM340"/>
      <c r="AN340"/>
      <c r="AO340"/>
      <c r="AP340"/>
      <c r="AQ340"/>
      <c r="AR340"/>
      <c r="AS340"/>
      <c r="AT340"/>
      <c r="AU340"/>
      <c r="AV340"/>
      <c r="AW340"/>
      <c r="AX340"/>
      <c r="AY340"/>
      <c r="AZ340"/>
      <c r="BA340"/>
      <c r="BB340"/>
      <c r="BC340"/>
      <c r="BD340"/>
      <c r="BE340"/>
      <c r="BF340"/>
      <c r="BG340"/>
      <c r="BH340"/>
      <c r="BI340"/>
      <c r="BJ340"/>
      <c r="BK340"/>
      <c r="BL340"/>
      <c r="BM340"/>
      <c r="BN340"/>
      <c r="BO340"/>
      <c r="BP340"/>
      <c r="BQ340"/>
      <c r="BR340"/>
      <c r="BS340"/>
      <c r="BT340"/>
      <c r="BU340"/>
      <c r="BV340"/>
      <c r="BW340"/>
      <c r="BX340"/>
      <c r="BY340"/>
      <c r="BZ340"/>
      <c r="CA340"/>
      <c r="CB340"/>
      <c r="CC340"/>
      <c r="CD340"/>
      <c r="CE340"/>
      <c r="CF340"/>
      <c r="CG340"/>
    </row>
    <row r="341" spans="1:85" ht="15">
      <c r="A341" s="30"/>
      <c r="B341" s="30"/>
      <c r="C341" s="30"/>
      <c r="D341" s="30"/>
      <c r="E341" s="30"/>
      <c r="F341" s="30"/>
      <c r="G341" s="30"/>
      <c r="H341" s="30"/>
      <c r="I341" s="30"/>
      <c r="J341" s="30"/>
      <c r="K341" s="30"/>
      <c r="L341" s="30"/>
      <c r="M341" s="30"/>
      <c r="N341" s="30"/>
      <c r="O341" s="30"/>
      <c r="P341" s="30"/>
      <c r="Q341" s="30"/>
      <c r="R341" s="47"/>
      <c r="S341" s="47"/>
      <c r="T341" s="47"/>
      <c r="U341" s="47"/>
      <c r="V341" s="47"/>
      <c r="W341" s="47"/>
      <c r="X341" s="47"/>
      <c r="Y341" s="47"/>
      <c r="Z341" s="47"/>
      <c r="AA341" s="47"/>
      <c r="AB341" s="9"/>
      <c r="AC341" s="9"/>
      <c r="AD341" s="9"/>
      <c r="AE341" s="30"/>
      <c r="AF341" s="30"/>
      <c r="AG341" s="30"/>
      <c r="AH341" s="30"/>
      <c r="AI341" s="30"/>
      <c r="AJ341" s="59"/>
      <c r="AK341" s="30"/>
      <c r="AL341"/>
      <c r="AM341"/>
      <c r="AN341"/>
      <c r="AO341"/>
      <c r="AP341"/>
      <c r="AQ341"/>
      <c r="AR341"/>
      <c r="AS341"/>
      <c r="AT341"/>
      <c r="AU341"/>
      <c r="AV341"/>
      <c r="AW341"/>
      <c r="AX341"/>
      <c r="AY341"/>
      <c r="AZ341"/>
      <c r="BA341"/>
      <c r="BB341"/>
      <c r="BC341"/>
      <c r="BD341"/>
      <c r="BE341"/>
      <c r="BF341"/>
      <c r="BG341"/>
      <c r="BH341"/>
      <c r="BI341"/>
      <c r="BJ341"/>
      <c r="BK341"/>
      <c r="BL341"/>
      <c r="BM341"/>
      <c r="BN341"/>
      <c r="BO341"/>
      <c r="BP341"/>
      <c r="BQ341"/>
      <c r="BR341"/>
      <c r="BS341"/>
      <c r="BT341"/>
      <c r="BU341"/>
      <c r="BV341"/>
      <c r="BW341"/>
      <c r="BX341"/>
      <c r="BY341"/>
      <c r="BZ341"/>
      <c r="CA341"/>
      <c r="CB341"/>
      <c r="CC341"/>
      <c r="CD341"/>
      <c r="CE341"/>
      <c r="CF341"/>
      <c r="CG341"/>
    </row>
    <row r="342" spans="1:85" ht="15">
      <c r="A342" s="30"/>
      <c r="B342" s="30"/>
      <c r="C342" s="30"/>
      <c r="D342" s="30"/>
      <c r="E342" s="30"/>
      <c r="F342" s="30"/>
      <c r="G342" s="30"/>
      <c r="H342" s="30"/>
      <c r="I342" s="30"/>
      <c r="J342" s="30"/>
      <c r="K342" s="30"/>
      <c r="L342" s="30"/>
      <c r="M342" s="30"/>
      <c r="N342" s="30"/>
      <c r="O342" s="30"/>
      <c r="P342" s="30"/>
      <c r="Q342" s="30"/>
      <c r="R342" s="47"/>
      <c r="S342" s="47"/>
      <c r="T342" s="47"/>
      <c r="U342" s="47"/>
      <c r="V342" s="47"/>
      <c r="W342" s="47"/>
      <c r="X342" s="47"/>
      <c r="Y342" s="47"/>
      <c r="Z342" s="47"/>
      <c r="AA342" s="47"/>
      <c r="AB342" s="9"/>
      <c r="AC342" s="9"/>
      <c r="AD342" s="9"/>
      <c r="AE342" s="30"/>
      <c r="AF342" s="30"/>
      <c r="AG342" s="30"/>
      <c r="AH342" s="30"/>
      <c r="AI342" s="30"/>
      <c r="AJ342" s="59"/>
      <c r="AK342" s="30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  <c r="AY342"/>
      <c r="AZ342"/>
      <c r="BA342"/>
      <c r="BB342"/>
      <c r="BC342"/>
      <c r="BD342"/>
      <c r="BE342"/>
      <c r="BF342"/>
      <c r="BG342"/>
      <c r="BH342"/>
      <c r="BI342"/>
      <c r="BJ342"/>
      <c r="BK342"/>
      <c r="BL342"/>
      <c r="BM342"/>
      <c r="BN342"/>
      <c r="BO342"/>
      <c r="BP342"/>
      <c r="BQ342"/>
      <c r="BR342"/>
      <c r="BS342"/>
      <c r="BT342"/>
      <c r="BU342"/>
      <c r="BV342"/>
      <c r="BW342"/>
      <c r="BX342"/>
      <c r="BY342"/>
      <c r="BZ342"/>
      <c r="CA342"/>
      <c r="CB342"/>
      <c r="CC342"/>
      <c r="CD342"/>
      <c r="CE342"/>
      <c r="CF342"/>
      <c r="CG342"/>
    </row>
    <row r="343" spans="1:85" ht="15">
      <c r="A343" s="30"/>
      <c r="B343" s="30"/>
      <c r="C343" s="30"/>
      <c r="D343" s="30"/>
      <c r="E343" s="30"/>
      <c r="F343" s="30"/>
      <c r="G343" s="30"/>
      <c r="H343" s="30"/>
      <c r="I343" s="30"/>
      <c r="J343" s="30"/>
      <c r="K343" s="30"/>
      <c r="L343" s="30"/>
      <c r="M343" s="30"/>
      <c r="N343" s="30"/>
      <c r="O343" s="30"/>
      <c r="P343" s="30"/>
      <c r="Q343" s="30"/>
      <c r="R343" s="47"/>
      <c r="S343" s="47"/>
      <c r="T343" s="47"/>
      <c r="U343" s="47"/>
      <c r="V343" s="47"/>
      <c r="W343" s="47"/>
      <c r="X343" s="47"/>
      <c r="Y343" s="47"/>
      <c r="Z343" s="47"/>
      <c r="AA343" s="47"/>
      <c r="AB343" s="9"/>
      <c r="AC343" s="9"/>
      <c r="AD343" s="9"/>
      <c r="AE343" s="30"/>
      <c r="AF343" s="30"/>
      <c r="AG343" s="30"/>
      <c r="AH343" s="30"/>
      <c r="AI343" s="30"/>
      <c r="AJ343" s="59"/>
      <c r="AK343" s="30"/>
      <c r="AL343"/>
      <c r="AM343"/>
      <c r="AN343"/>
      <c r="AO343"/>
      <c r="AP343"/>
      <c r="AQ343"/>
      <c r="AR343"/>
      <c r="AS343"/>
      <c r="AT343"/>
      <c r="AU343"/>
      <c r="AV343"/>
      <c r="AW343"/>
      <c r="AX343"/>
      <c r="AY343"/>
      <c r="AZ343"/>
      <c r="BA343"/>
      <c r="BB343"/>
      <c r="BC343"/>
      <c r="BD343"/>
      <c r="BE343"/>
      <c r="BF343"/>
      <c r="BG343"/>
      <c r="BH343"/>
      <c r="BI343"/>
      <c r="BJ343"/>
      <c r="BK343"/>
      <c r="BL343"/>
      <c r="BM343"/>
      <c r="BN343"/>
      <c r="BO343"/>
      <c r="BP343"/>
      <c r="BQ343"/>
      <c r="BR343"/>
      <c r="BS343"/>
      <c r="BT343"/>
      <c r="BU343"/>
      <c r="BV343"/>
      <c r="BW343"/>
      <c r="BX343"/>
      <c r="BY343"/>
      <c r="BZ343"/>
      <c r="CA343"/>
      <c r="CB343"/>
      <c r="CC343"/>
      <c r="CD343"/>
      <c r="CE343"/>
      <c r="CF343"/>
      <c r="CG343"/>
    </row>
    <row r="344" spans="1:85" ht="15">
      <c r="A344" s="30"/>
      <c r="B344" s="30"/>
      <c r="C344" s="30"/>
      <c r="D344" s="30"/>
      <c r="E344" s="30"/>
      <c r="F344" s="30"/>
      <c r="G344" s="30"/>
      <c r="H344" s="30"/>
      <c r="I344" s="30"/>
      <c r="J344" s="30"/>
      <c r="K344" s="30"/>
      <c r="L344" s="30"/>
      <c r="M344" s="30"/>
      <c r="N344" s="30"/>
      <c r="O344" s="30"/>
      <c r="P344" s="30"/>
      <c r="Q344" s="30"/>
      <c r="R344" s="47"/>
      <c r="S344" s="47"/>
      <c r="T344" s="47"/>
      <c r="U344" s="47"/>
      <c r="V344" s="47"/>
      <c r="W344" s="47"/>
      <c r="X344" s="47"/>
      <c r="Y344" s="47"/>
      <c r="Z344" s="47"/>
      <c r="AA344" s="47"/>
      <c r="AB344" s="9"/>
      <c r="AC344" s="9"/>
      <c r="AD344" s="9"/>
      <c r="AE344" s="30"/>
      <c r="AF344" s="30"/>
      <c r="AG344" s="30"/>
      <c r="AH344" s="30"/>
      <c r="AI344" s="30"/>
      <c r="AJ344" s="59"/>
      <c r="AK344" s="30"/>
      <c r="AL344"/>
      <c r="AM344"/>
      <c r="AN344"/>
      <c r="AO344"/>
      <c r="AP344"/>
      <c r="AQ344"/>
      <c r="AR344"/>
      <c r="AS344"/>
      <c r="AT344"/>
      <c r="AU344"/>
      <c r="AV344"/>
      <c r="AW344"/>
      <c r="AX344"/>
      <c r="AY344"/>
      <c r="AZ344"/>
      <c r="BA344"/>
      <c r="BB344"/>
      <c r="BC344"/>
      <c r="BD344"/>
      <c r="BE344"/>
      <c r="BF344"/>
      <c r="BG344"/>
      <c r="BH344"/>
      <c r="BI344"/>
      <c r="BJ344"/>
      <c r="BK344"/>
      <c r="BL344"/>
      <c r="BM344"/>
      <c r="BN344"/>
      <c r="BO344"/>
      <c r="BP344"/>
      <c r="BQ344"/>
      <c r="BR344"/>
      <c r="BS344"/>
      <c r="BT344"/>
      <c r="BU344"/>
      <c r="BV344"/>
      <c r="BW344"/>
      <c r="BX344"/>
      <c r="BY344"/>
      <c r="BZ344"/>
      <c r="CA344"/>
      <c r="CB344"/>
      <c r="CC344"/>
      <c r="CD344"/>
      <c r="CE344"/>
      <c r="CF344"/>
      <c r="CG344"/>
    </row>
    <row r="345" spans="1:85" ht="15">
      <c r="A345" s="30"/>
      <c r="B345" s="30"/>
      <c r="C345" s="30"/>
      <c r="D345" s="30"/>
      <c r="E345" s="30"/>
      <c r="F345" s="30"/>
      <c r="G345" s="30"/>
      <c r="H345" s="30"/>
      <c r="I345" s="30"/>
      <c r="J345" s="30"/>
      <c r="K345" s="30"/>
      <c r="L345" s="30"/>
      <c r="M345" s="30"/>
      <c r="N345" s="30"/>
      <c r="O345" s="30"/>
      <c r="P345" s="30"/>
      <c r="Q345" s="30"/>
      <c r="R345" s="47"/>
      <c r="S345" s="47"/>
      <c r="T345" s="47"/>
      <c r="U345" s="47"/>
      <c r="V345" s="47"/>
      <c r="W345" s="47"/>
      <c r="X345" s="47"/>
      <c r="Y345" s="47"/>
      <c r="Z345" s="47"/>
      <c r="AA345" s="47"/>
      <c r="AB345" s="9"/>
      <c r="AC345" s="9"/>
      <c r="AD345" s="9"/>
      <c r="AE345" s="30"/>
      <c r="AF345" s="30"/>
      <c r="AG345" s="30"/>
      <c r="AH345" s="30"/>
      <c r="AI345" s="30"/>
      <c r="AJ345" s="59"/>
      <c r="AK345" s="30"/>
      <c r="AL345"/>
      <c r="AM345"/>
      <c r="AN345"/>
      <c r="AO345"/>
      <c r="AP345"/>
      <c r="AQ345"/>
      <c r="AR345"/>
      <c r="AS345"/>
      <c r="AT345"/>
      <c r="AU345"/>
      <c r="AV345"/>
      <c r="AW345"/>
      <c r="AX345"/>
      <c r="AY345"/>
      <c r="AZ345"/>
      <c r="BA345"/>
      <c r="BB345"/>
      <c r="BC345"/>
      <c r="BD345"/>
      <c r="BE345"/>
      <c r="BF345"/>
      <c r="BG345"/>
      <c r="BH345"/>
      <c r="BI345"/>
      <c r="BJ345"/>
      <c r="BK345"/>
      <c r="BL345"/>
      <c r="BM345"/>
      <c r="BN345"/>
      <c r="BO345"/>
      <c r="BP345"/>
      <c r="BQ345"/>
      <c r="BR345"/>
      <c r="BS345"/>
      <c r="BT345"/>
      <c r="BU345"/>
      <c r="BV345"/>
      <c r="BW345"/>
      <c r="BX345"/>
      <c r="BY345"/>
      <c r="BZ345"/>
      <c r="CA345"/>
      <c r="CB345"/>
      <c r="CC345"/>
      <c r="CD345"/>
      <c r="CE345"/>
      <c r="CF345"/>
      <c r="CG345"/>
    </row>
    <row r="346" spans="1:85" ht="15">
      <c r="A346" s="30"/>
      <c r="B346" s="30"/>
      <c r="C346" s="30"/>
      <c r="D346" s="30"/>
      <c r="E346" s="30"/>
      <c r="F346" s="30"/>
      <c r="G346" s="30"/>
      <c r="H346" s="30"/>
      <c r="I346" s="30"/>
      <c r="J346" s="30"/>
      <c r="K346" s="30"/>
      <c r="L346" s="30"/>
      <c r="M346" s="30"/>
      <c r="N346" s="30"/>
      <c r="O346" s="30"/>
      <c r="P346" s="30"/>
      <c r="Q346" s="30"/>
      <c r="R346" s="47"/>
      <c r="S346" s="47"/>
      <c r="T346" s="47"/>
      <c r="U346" s="47"/>
      <c r="V346" s="47"/>
      <c r="W346" s="47"/>
      <c r="X346" s="47"/>
      <c r="Y346" s="47"/>
      <c r="Z346" s="47"/>
      <c r="AA346" s="47"/>
      <c r="AB346" s="9"/>
      <c r="AC346" s="9"/>
      <c r="AD346" s="9"/>
      <c r="AE346" s="30"/>
      <c r="AF346" s="30"/>
      <c r="AG346" s="30"/>
      <c r="AH346" s="30"/>
      <c r="AI346" s="30"/>
      <c r="AJ346" s="59"/>
      <c r="AK346" s="30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  <c r="AY346"/>
      <c r="AZ346"/>
      <c r="BA346"/>
      <c r="BB346"/>
      <c r="BC346"/>
      <c r="BD346"/>
      <c r="BE346"/>
      <c r="BF346"/>
      <c r="BG346"/>
      <c r="BH346"/>
      <c r="BI346"/>
      <c r="BJ346"/>
      <c r="BK346"/>
      <c r="BL346"/>
      <c r="BM346"/>
      <c r="BN346"/>
      <c r="BO346"/>
      <c r="BP346"/>
      <c r="BQ346"/>
      <c r="BR346"/>
      <c r="BS346"/>
      <c r="BT346"/>
      <c r="BU346"/>
      <c r="BV346"/>
      <c r="BW346"/>
      <c r="BX346"/>
      <c r="BY346"/>
      <c r="BZ346"/>
      <c r="CA346"/>
      <c r="CB346"/>
      <c r="CC346"/>
      <c r="CD346"/>
      <c r="CE346"/>
      <c r="CF346"/>
      <c r="CG346"/>
    </row>
    <row r="347" spans="1:85" ht="15">
      <c r="A347" s="30"/>
      <c r="B347" s="30"/>
      <c r="C347" s="30"/>
      <c r="D347" s="30"/>
      <c r="E347" s="30"/>
      <c r="F347" s="30"/>
      <c r="G347" s="30"/>
      <c r="H347" s="30"/>
      <c r="I347" s="30"/>
      <c r="J347" s="30"/>
      <c r="K347" s="30"/>
      <c r="L347" s="30"/>
      <c r="M347" s="30"/>
      <c r="N347" s="30"/>
      <c r="O347" s="30"/>
      <c r="P347" s="30"/>
      <c r="Q347" s="30"/>
      <c r="R347" s="47"/>
      <c r="S347" s="47"/>
      <c r="T347" s="47"/>
      <c r="U347" s="47"/>
      <c r="V347" s="47"/>
      <c r="W347" s="47"/>
      <c r="X347" s="47"/>
      <c r="Y347" s="47"/>
      <c r="Z347" s="47"/>
      <c r="AA347" s="47"/>
      <c r="AB347" s="9"/>
      <c r="AC347" s="9"/>
      <c r="AD347" s="9"/>
      <c r="AE347" s="30"/>
      <c r="AF347" s="30"/>
      <c r="AG347" s="30"/>
      <c r="AH347" s="30"/>
      <c r="AI347" s="30"/>
      <c r="AJ347" s="59"/>
      <c r="AK347" s="30"/>
      <c r="AL347"/>
      <c r="AM347"/>
      <c r="AN347"/>
      <c r="AO347"/>
      <c r="AP347"/>
      <c r="AQ347"/>
      <c r="AR347"/>
      <c r="AS347"/>
      <c r="AT347"/>
      <c r="AU347"/>
      <c r="AV347"/>
      <c r="AW347"/>
      <c r="AX347"/>
      <c r="AY347"/>
      <c r="AZ347"/>
      <c r="BA347"/>
      <c r="BB347"/>
      <c r="BC347"/>
      <c r="BD347"/>
      <c r="BE347"/>
      <c r="BF347"/>
      <c r="BG347"/>
      <c r="BH347"/>
      <c r="BI347"/>
      <c r="BJ347"/>
      <c r="BK347"/>
      <c r="BL347"/>
      <c r="BM347"/>
      <c r="BN347"/>
      <c r="BO347"/>
      <c r="BP347"/>
      <c r="BQ347"/>
      <c r="BR347"/>
      <c r="BS347"/>
      <c r="BT347"/>
      <c r="BU347"/>
      <c r="BV347"/>
      <c r="BW347"/>
      <c r="BX347"/>
      <c r="BY347"/>
      <c r="BZ347"/>
      <c r="CA347"/>
      <c r="CB347"/>
      <c r="CC347"/>
      <c r="CD347"/>
      <c r="CE347"/>
      <c r="CF347"/>
      <c r="CG347"/>
    </row>
    <row r="348" spans="1:85" ht="15">
      <c r="A348" s="30"/>
      <c r="B348" s="30"/>
      <c r="C348" s="30"/>
      <c r="D348" s="30"/>
      <c r="E348" s="30"/>
      <c r="F348" s="30"/>
      <c r="G348" s="30"/>
      <c r="H348" s="30"/>
      <c r="I348" s="30"/>
      <c r="J348" s="30"/>
      <c r="K348" s="30"/>
      <c r="L348" s="30"/>
      <c r="M348" s="30"/>
      <c r="N348" s="30"/>
      <c r="O348" s="30"/>
      <c r="P348" s="30"/>
      <c r="Q348" s="30"/>
      <c r="R348" s="47"/>
      <c r="S348" s="47"/>
      <c r="T348" s="47"/>
      <c r="U348" s="47"/>
      <c r="V348" s="47"/>
      <c r="W348" s="47"/>
      <c r="X348" s="47"/>
      <c r="Y348" s="47"/>
      <c r="Z348" s="47"/>
      <c r="AA348" s="47"/>
      <c r="AB348" s="9"/>
      <c r="AC348" s="9"/>
      <c r="AD348" s="9"/>
      <c r="AE348" s="30"/>
      <c r="AF348" s="30"/>
      <c r="AG348" s="30"/>
      <c r="AH348" s="30"/>
      <c r="AI348" s="30"/>
      <c r="AJ348" s="59"/>
      <c r="AK348" s="30"/>
      <c r="AL348"/>
      <c r="AM348"/>
      <c r="AN348"/>
      <c r="AO348"/>
      <c r="AP348"/>
      <c r="AQ348"/>
      <c r="AR348"/>
      <c r="AS348"/>
      <c r="AT348"/>
      <c r="AU348"/>
      <c r="AV348"/>
      <c r="AW348"/>
      <c r="AX348"/>
      <c r="AY348"/>
      <c r="AZ348"/>
      <c r="BA348"/>
      <c r="BB348"/>
      <c r="BC348"/>
      <c r="BD348"/>
      <c r="BE348"/>
      <c r="BF348"/>
      <c r="BG348"/>
      <c r="BH348"/>
      <c r="BI348"/>
      <c r="BJ348"/>
      <c r="BK348"/>
      <c r="BL348"/>
      <c r="BM348"/>
      <c r="BN348"/>
      <c r="BO348"/>
      <c r="BP348"/>
      <c r="BQ348"/>
      <c r="BR348"/>
      <c r="BS348"/>
      <c r="BT348"/>
      <c r="BU348"/>
      <c r="BV348"/>
      <c r="BW348"/>
      <c r="BX348"/>
      <c r="BY348"/>
      <c r="BZ348"/>
      <c r="CA348"/>
      <c r="CB348"/>
      <c r="CC348"/>
      <c r="CD348"/>
      <c r="CE348"/>
      <c r="CF348"/>
      <c r="CG348"/>
    </row>
    <row r="349" spans="1:85" ht="15">
      <c r="A349" s="30"/>
      <c r="B349" s="30"/>
      <c r="C349" s="30"/>
      <c r="D349" s="30"/>
      <c r="E349" s="30"/>
      <c r="F349" s="30"/>
      <c r="G349" s="30"/>
      <c r="H349" s="30"/>
      <c r="I349" s="30"/>
      <c r="J349" s="30"/>
      <c r="K349" s="30"/>
      <c r="L349" s="30"/>
      <c r="M349" s="30"/>
      <c r="N349" s="30"/>
      <c r="O349" s="30"/>
      <c r="P349" s="30"/>
      <c r="Q349" s="30"/>
      <c r="R349" s="47"/>
      <c r="S349" s="47"/>
      <c r="T349" s="47"/>
      <c r="U349" s="47"/>
      <c r="V349" s="47"/>
      <c r="W349" s="47"/>
      <c r="X349" s="47"/>
      <c r="Y349" s="47"/>
      <c r="Z349" s="47"/>
      <c r="AA349" s="47"/>
      <c r="AB349" s="9"/>
      <c r="AC349" s="9"/>
      <c r="AD349" s="9"/>
      <c r="AE349" s="30"/>
      <c r="AF349" s="30"/>
      <c r="AG349" s="30"/>
      <c r="AH349" s="30"/>
      <c r="AI349" s="30"/>
      <c r="AJ349" s="59"/>
      <c r="AK349" s="30"/>
      <c r="AL349"/>
      <c r="AM349"/>
      <c r="AN349"/>
      <c r="AO349"/>
      <c r="AP349"/>
      <c r="AQ349"/>
      <c r="AR349"/>
      <c r="AS349"/>
      <c r="AT349"/>
      <c r="AU349"/>
      <c r="AV349"/>
      <c r="AW349"/>
      <c r="AX349"/>
      <c r="AY349"/>
      <c r="AZ349"/>
      <c r="BA349"/>
      <c r="BB349"/>
      <c r="BC349"/>
      <c r="BD349"/>
      <c r="BE349"/>
      <c r="BF349"/>
      <c r="BG349"/>
      <c r="BH349"/>
      <c r="BI349"/>
      <c r="BJ349"/>
      <c r="BK349"/>
      <c r="BL349"/>
      <c r="BM349"/>
      <c r="BN349"/>
      <c r="BO349"/>
      <c r="BP349"/>
      <c r="BQ349"/>
      <c r="BR349"/>
      <c r="BS349"/>
      <c r="BT349"/>
      <c r="BU349"/>
      <c r="BV349"/>
      <c r="BW349"/>
      <c r="BX349"/>
      <c r="BY349"/>
      <c r="BZ349"/>
      <c r="CA349"/>
      <c r="CB349"/>
      <c r="CC349"/>
      <c r="CD349"/>
      <c r="CE349"/>
      <c r="CF349"/>
      <c r="CG349"/>
    </row>
    <row r="350" spans="1:85" ht="15">
      <c r="A350" s="30"/>
      <c r="B350" s="30"/>
      <c r="C350" s="30"/>
      <c r="D350" s="30"/>
      <c r="E350" s="30"/>
      <c r="F350" s="30"/>
      <c r="G350" s="30"/>
      <c r="H350" s="30"/>
      <c r="I350" s="30"/>
      <c r="J350" s="30"/>
      <c r="K350" s="30"/>
      <c r="L350" s="30"/>
      <c r="M350" s="30"/>
      <c r="N350" s="30"/>
      <c r="O350" s="30"/>
      <c r="P350" s="30"/>
      <c r="Q350" s="30"/>
      <c r="R350" s="47"/>
      <c r="S350" s="47"/>
      <c r="T350" s="47"/>
      <c r="U350" s="47"/>
      <c r="V350" s="47"/>
      <c r="W350" s="47"/>
      <c r="X350" s="47"/>
      <c r="Y350" s="47"/>
      <c r="Z350" s="47"/>
      <c r="AA350" s="47"/>
      <c r="AB350" s="9"/>
      <c r="AC350" s="9"/>
      <c r="AD350" s="9"/>
      <c r="AE350" s="30"/>
      <c r="AF350" s="30"/>
      <c r="AG350" s="30"/>
      <c r="AH350" s="30"/>
      <c r="AI350" s="30"/>
      <c r="AJ350" s="59"/>
      <c r="AK350" s="3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  <c r="AY350"/>
      <c r="AZ350"/>
      <c r="BA350"/>
      <c r="BB350"/>
      <c r="BC350"/>
      <c r="BD350"/>
      <c r="BE350"/>
      <c r="BF350"/>
      <c r="BG350"/>
      <c r="BH350"/>
      <c r="BI350"/>
      <c r="BJ350"/>
      <c r="BK350"/>
      <c r="BL350"/>
      <c r="BM350"/>
      <c r="BN350"/>
      <c r="BO350"/>
      <c r="BP350"/>
      <c r="BQ350"/>
      <c r="BR350"/>
      <c r="BS350"/>
      <c r="BT350"/>
      <c r="BU350"/>
      <c r="BV350"/>
      <c r="BW350"/>
      <c r="BX350"/>
      <c r="BY350"/>
      <c r="BZ350"/>
      <c r="CA350"/>
      <c r="CB350"/>
      <c r="CC350"/>
      <c r="CD350"/>
      <c r="CE350"/>
      <c r="CF350"/>
      <c r="CG350"/>
    </row>
    <row r="351" spans="1:85" ht="15">
      <c r="A351" s="30"/>
      <c r="B351" s="30"/>
      <c r="C351" s="30"/>
      <c r="D351" s="30"/>
      <c r="E351" s="30"/>
      <c r="F351" s="30"/>
      <c r="G351" s="30"/>
      <c r="H351" s="30"/>
      <c r="I351" s="30"/>
      <c r="J351" s="30"/>
      <c r="K351" s="30"/>
      <c r="L351" s="30"/>
      <c r="M351" s="30"/>
      <c r="N351" s="30"/>
      <c r="O351" s="30"/>
      <c r="P351" s="30"/>
      <c r="Q351" s="30"/>
      <c r="R351" s="47"/>
      <c r="S351" s="47"/>
      <c r="T351" s="47"/>
      <c r="U351" s="47"/>
      <c r="V351" s="47"/>
      <c r="W351" s="47"/>
      <c r="X351" s="47"/>
      <c r="Y351" s="47"/>
      <c r="Z351" s="47"/>
      <c r="AA351" s="47"/>
      <c r="AB351" s="9"/>
      <c r="AC351" s="9"/>
      <c r="AD351" s="9"/>
      <c r="AE351" s="30"/>
      <c r="AF351" s="30"/>
      <c r="AG351" s="30"/>
      <c r="AH351" s="30"/>
      <c r="AI351" s="30"/>
      <c r="AJ351" s="59"/>
      <c r="AK351" s="30"/>
      <c r="AL351"/>
      <c r="AM351"/>
      <c r="AN351"/>
      <c r="AO351"/>
      <c r="AP351"/>
      <c r="AQ351"/>
      <c r="AR351"/>
      <c r="AS351"/>
      <c r="AT351"/>
      <c r="AU351"/>
      <c r="AV351"/>
      <c r="AW351"/>
      <c r="AX351"/>
      <c r="AY351"/>
      <c r="AZ351"/>
      <c r="BA351"/>
      <c r="BB351"/>
      <c r="BC351"/>
      <c r="BD351"/>
      <c r="BE351"/>
      <c r="BF351"/>
      <c r="BG351"/>
      <c r="BH351"/>
      <c r="BI351"/>
      <c r="BJ351"/>
      <c r="BK351"/>
      <c r="BL351"/>
      <c r="BM351"/>
      <c r="BN351"/>
      <c r="BO351"/>
      <c r="BP351"/>
      <c r="BQ351"/>
      <c r="BR351"/>
      <c r="BS351"/>
      <c r="BT351"/>
      <c r="BU351"/>
      <c r="BV351"/>
      <c r="BW351"/>
      <c r="BX351"/>
      <c r="BY351"/>
      <c r="BZ351"/>
      <c r="CA351"/>
      <c r="CB351"/>
      <c r="CC351"/>
      <c r="CD351"/>
      <c r="CE351"/>
      <c r="CF351"/>
      <c r="CG351"/>
    </row>
    <row r="352" spans="1:85" ht="15">
      <c r="A352" s="30"/>
      <c r="B352" s="30"/>
      <c r="C352" s="30"/>
      <c r="D352" s="30"/>
      <c r="E352" s="30"/>
      <c r="F352" s="30"/>
      <c r="G352" s="30"/>
      <c r="H352" s="30"/>
      <c r="I352" s="30"/>
      <c r="J352" s="30"/>
      <c r="K352" s="30"/>
      <c r="L352" s="30"/>
      <c r="M352" s="30"/>
      <c r="N352" s="30"/>
      <c r="O352" s="30"/>
      <c r="P352" s="30"/>
      <c r="Q352" s="30"/>
      <c r="R352" s="47"/>
      <c r="S352" s="47"/>
      <c r="T352" s="47"/>
      <c r="U352" s="47"/>
      <c r="V352" s="47"/>
      <c r="W352" s="47"/>
      <c r="X352" s="47"/>
      <c r="Y352" s="47"/>
      <c r="Z352" s="47"/>
      <c r="AA352" s="47"/>
      <c r="AB352" s="9"/>
      <c r="AC352" s="9"/>
      <c r="AD352" s="9"/>
      <c r="AE352" s="30"/>
      <c r="AF352" s="30"/>
      <c r="AG352" s="30"/>
      <c r="AH352" s="30"/>
      <c r="AI352" s="30"/>
      <c r="AJ352" s="59"/>
      <c r="AK352" s="30"/>
      <c r="AL352"/>
      <c r="AM352"/>
      <c r="AN352"/>
      <c r="AO352"/>
      <c r="AP352"/>
      <c r="AQ352"/>
      <c r="AR352"/>
      <c r="AS352"/>
      <c r="AT352"/>
      <c r="AU352"/>
      <c r="AV352"/>
      <c r="AW352"/>
      <c r="AX352"/>
      <c r="AY352"/>
      <c r="AZ352"/>
      <c r="BA352"/>
      <c r="BB352"/>
      <c r="BC352"/>
      <c r="BD352"/>
      <c r="BE352"/>
      <c r="BF352"/>
      <c r="BG352"/>
      <c r="BH352"/>
      <c r="BI352"/>
      <c r="BJ352"/>
      <c r="BK352"/>
      <c r="BL352"/>
      <c r="BM352"/>
      <c r="BN352"/>
      <c r="BO352"/>
      <c r="BP352"/>
      <c r="BQ352"/>
      <c r="BR352"/>
      <c r="BS352"/>
      <c r="BT352"/>
      <c r="BU352"/>
      <c r="BV352"/>
      <c r="BW352"/>
      <c r="BX352"/>
      <c r="BY352"/>
      <c r="BZ352"/>
      <c r="CA352"/>
      <c r="CB352"/>
      <c r="CC352"/>
      <c r="CD352"/>
      <c r="CE352"/>
      <c r="CF352"/>
      <c r="CG352"/>
    </row>
    <row r="353" spans="1:85" ht="15">
      <c r="A353" s="30"/>
      <c r="B353" s="30"/>
      <c r="C353" s="30"/>
      <c r="D353" s="30"/>
      <c r="E353" s="30"/>
      <c r="F353" s="30"/>
      <c r="G353" s="30"/>
      <c r="H353" s="30"/>
      <c r="I353" s="30"/>
      <c r="J353" s="30"/>
      <c r="K353" s="30"/>
      <c r="L353" s="30"/>
      <c r="M353" s="30"/>
      <c r="N353" s="30"/>
      <c r="O353" s="30"/>
      <c r="P353" s="30"/>
      <c r="Q353" s="30"/>
      <c r="R353" s="47"/>
      <c r="S353" s="47"/>
      <c r="T353" s="47"/>
      <c r="U353" s="47"/>
      <c r="V353" s="47"/>
      <c r="W353" s="47"/>
      <c r="X353" s="47"/>
      <c r="Y353" s="47"/>
      <c r="Z353" s="47"/>
      <c r="AA353" s="47"/>
      <c r="AB353" s="9"/>
      <c r="AC353" s="9"/>
      <c r="AD353" s="9"/>
      <c r="AE353" s="30"/>
      <c r="AF353" s="30"/>
      <c r="AG353" s="30"/>
      <c r="AH353" s="30"/>
      <c r="AI353" s="30"/>
      <c r="AJ353" s="59"/>
      <c r="AK353" s="30"/>
      <c r="AL353"/>
      <c r="AM353"/>
      <c r="AN353"/>
      <c r="AO353"/>
      <c r="AP353"/>
      <c r="AQ353"/>
      <c r="AR353"/>
      <c r="AS353"/>
      <c r="AT353"/>
      <c r="AU353"/>
      <c r="AV353"/>
      <c r="AW353"/>
      <c r="AX353"/>
      <c r="AY353"/>
      <c r="AZ353"/>
      <c r="BA353"/>
      <c r="BB353"/>
      <c r="BC353"/>
      <c r="BD353"/>
      <c r="BE353"/>
      <c r="BF353"/>
      <c r="BG353"/>
      <c r="BH353"/>
      <c r="BI353"/>
      <c r="BJ353"/>
      <c r="BK353"/>
      <c r="BL353"/>
      <c r="BM353"/>
      <c r="BN353"/>
      <c r="BO353"/>
      <c r="BP353"/>
      <c r="BQ353"/>
      <c r="BR353"/>
      <c r="BS353"/>
      <c r="BT353"/>
      <c r="BU353"/>
      <c r="BV353"/>
      <c r="BW353"/>
      <c r="BX353"/>
      <c r="BY353"/>
      <c r="BZ353"/>
      <c r="CA353"/>
      <c r="CB353"/>
      <c r="CC353"/>
      <c r="CD353"/>
      <c r="CE353"/>
      <c r="CF353"/>
      <c r="CG353"/>
    </row>
    <row r="354" spans="1:85" ht="15">
      <c r="A354" s="30"/>
      <c r="B354" s="30"/>
      <c r="C354" s="30"/>
      <c r="D354" s="30"/>
      <c r="E354" s="30"/>
      <c r="F354" s="30"/>
      <c r="G354" s="30"/>
      <c r="H354" s="30"/>
      <c r="I354" s="30"/>
      <c r="J354" s="30"/>
      <c r="K354" s="30"/>
      <c r="L354" s="30"/>
      <c r="M354" s="30"/>
      <c r="N354" s="30"/>
      <c r="O354" s="30"/>
      <c r="P354" s="30"/>
      <c r="Q354" s="30"/>
      <c r="R354" s="47"/>
      <c r="S354" s="47"/>
      <c r="T354" s="47"/>
      <c r="U354" s="47"/>
      <c r="V354" s="47"/>
      <c r="W354" s="47"/>
      <c r="X354" s="47"/>
      <c r="Y354" s="47"/>
      <c r="Z354" s="47"/>
      <c r="AA354" s="47"/>
      <c r="AB354" s="9"/>
      <c r="AC354" s="9"/>
      <c r="AD354" s="9"/>
      <c r="AE354" s="30"/>
      <c r="AF354" s="30"/>
      <c r="AG354" s="30"/>
      <c r="AH354" s="30"/>
      <c r="AI354" s="30"/>
      <c r="AJ354" s="59"/>
      <c r="AK354" s="30"/>
      <c r="AL354"/>
      <c r="AM354"/>
      <c r="AN354"/>
      <c r="AO354"/>
      <c r="AP354"/>
      <c r="AQ354"/>
      <c r="AR354"/>
      <c r="AS354"/>
      <c r="AT354"/>
      <c r="AU354"/>
      <c r="AV354"/>
      <c r="AW354"/>
      <c r="AX354"/>
      <c r="AY354"/>
      <c r="AZ354"/>
      <c r="BA354"/>
      <c r="BB354"/>
      <c r="BC354"/>
      <c r="BD354"/>
      <c r="BE354"/>
      <c r="BF354"/>
      <c r="BG354"/>
      <c r="BH354"/>
      <c r="BI354"/>
      <c r="BJ354"/>
      <c r="BK354"/>
      <c r="BL354"/>
      <c r="BM354"/>
      <c r="BN354"/>
      <c r="BO354"/>
      <c r="BP354"/>
      <c r="BQ354"/>
      <c r="BR354"/>
      <c r="BS354"/>
      <c r="BT354"/>
      <c r="BU354"/>
      <c r="BV354"/>
      <c r="BW354"/>
      <c r="BX354"/>
      <c r="BY354"/>
      <c r="BZ354"/>
      <c r="CA354"/>
      <c r="CB354"/>
      <c r="CC354"/>
      <c r="CD354"/>
      <c r="CE354"/>
      <c r="CF354"/>
      <c r="CG354"/>
    </row>
    <row r="355" spans="1:85" ht="15">
      <c r="A355" s="30"/>
      <c r="B355" s="30"/>
      <c r="C355" s="30"/>
      <c r="D355" s="30"/>
      <c r="E355" s="30"/>
      <c r="F355" s="30"/>
      <c r="G355" s="30"/>
      <c r="H355" s="30"/>
      <c r="I355" s="30"/>
      <c r="J355" s="30"/>
      <c r="K355" s="30"/>
      <c r="L355" s="30"/>
      <c r="M355" s="30"/>
      <c r="N355" s="30"/>
      <c r="O355" s="30"/>
      <c r="P355" s="30"/>
      <c r="Q355" s="30"/>
      <c r="R355" s="47"/>
      <c r="S355" s="47"/>
      <c r="T355" s="47"/>
      <c r="U355" s="47"/>
      <c r="V355" s="47"/>
      <c r="W355" s="47"/>
      <c r="X355" s="47"/>
      <c r="Y355" s="47"/>
      <c r="Z355" s="47"/>
      <c r="AA355" s="47"/>
      <c r="AB355" s="9"/>
      <c r="AC355" s="9"/>
      <c r="AD355" s="9"/>
      <c r="AE355" s="30"/>
      <c r="AF355" s="30"/>
      <c r="AG355" s="30"/>
      <c r="AH355" s="30"/>
      <c r="AI355" s="30"/>
      <c r="AJ355" s="59"/>
      <c r="AK355" s="30"/>
      <c r="AL355"/>
      <c r="AM355"/>
      <c r="AN355"/>
      <c r="AO355"/>
      <c r="AP355"/>
      <c r="AQ355"/>
      <c r="AR355"/>
      <c r="AS355"/>
      <c r="AT355"/>
      <c r="AU355"/>
      <c r="AV355"/>
      <c r="AW355"/>
      <c r="AX355"/>
      <c r="AY355"/>
      <c r="AZ355"/>
      <c r="BA355"/>
      <c r="BB355"/>
      <c r="BC355"/>
      <c r="BD355"/>
      <c r="BE355"/>
      <c r="BF355"/>
      <c r="BG355"/>
      <c r="BH355"/>
      <c r="BI355"/>
      <c r="BJ355"/>
      <c r="BK355"/>
      <c r="BL355"/>
      <c r="BM355"/>
      <c r="BN355"/>
      <c r="BO355"/>
      <c r="BP355"/>
      <c r="BQ355"/>
      <c r="BR355"/>
      <c r="BS355"/>
      <c r="BT355"/>
      <c r="BU355"/>
      <c r="BV355"/>
      <c r="BW355"/>
      <c r="BX355"/>
      <c r="BY355"/>
      <c r="BZ355"/>
      <c r="CA355"/>
      <c r="CB355"/>
      <c r="CC355"/>
      <c r="CD355"/>
      <c r="CE355"/>
      <c r="CF355"/>
      <c r="CG355"/>
    </row>
    <row r="356" spans="1:85" ht="15">
      <c r="A356" s="30"/>
      <c r="B356" s="30"/>
      <c r="C356" s="30"/>
      <c r="D356" s="30"/>
      <c r="E356" s="30"/>
      <c r="F356" s="30"/>
      <c r="G356" s="30"/>
      <c r="H356" s="30"/>
      <c r="I356" s="30"/>
      <c r="J356" s="30"/>
      <c r="K356" s="30"/>
      <c r="L356" s="30"/>
      <c r="M356" s="30"/>
      <c r="N356" s="30"/>
      <c r="O356" s="30"/>
      <c r="P356" s="30"/>
      <c r="Q356" s="30"/>
      <c r="R356" s="47"/>
      <c r="S356" s="47"/>
      <c r="T356" s="47"/>
      <c r="U356" s="47"/>
      <c r="V356" s="47"/>
      <c r="W356" s="47"/>
      <c r="X356" s="47"/>
      <c r="Y356" s="47"/>
      <c r="Z356" s="47"/>
      <c r="AA356" s="47"/>
      <c r="AB356" s="9"/>
      <c r="AC356" s="9"/>
      <c r="AD356" s="9"/>
      <c r="AE356" s="30"/>
      <c r="AF356" s="30"/>
      <c r="AG356" s="30"/>
      <c r="AH356" s="30"/>
      <c r="AI356" s="30"/>
      <c r="AJ356" s="59"/>
      <c r="AK356" s="30"/>
      <c r="AL356"/>
      <c r="AM356"/>
      <c r="AN356"/>
      <c r="AO356"/>
      <c r="AP356"/>
      <c r="AQ356"/>
      <c r="AR356"/>
      <c r="AS356"/>
      <c r="AT356"/>
      <c r="AU356"/>
      <c r="AV356"/>
      <c r="AW356"/>
      <c r="AX356"/>
      <c r="AY356"/>
      <c r="AZ356"/>
      <c r="BA356"/>
      <c r="BB356"/>
      <c r="BC356"/>
      <c r="BD356"/>
      <c r="BE356"/>
      <c r="BF356"/>
      <c r="BG356"/>
      <c r="BH356"/>
      <c r="BI356"/>
      <c r="BJ356"/>
      <c r="BK356"/>
      <c r="BL356"/>
      <c r="BM356"/>
      <c r="BN356"/>
      <c r="BO356"/>
      <c r="BP356"/>
      <c r="BQ356"/>
      <c r="BR356"/>
      <c r="BS356"/>
      <c r="BT356"/>
      <c r="BU356"/>
      <c r="BV356"/>
      <c r="BW356"/>
      <c r="BX356"/>
      <c r="BY356"/>
      <c r="BZ356"/>
      <c r="CA356"/>
      <c r="CB356"/>
      <c r="CC356"/>
      <c r="CD356"/>
      <c r="CE356"/>
      <c r="CF356"/>
      <c r="CG356"/>
    </row>
    <row r="357" spans="1:85" ht="15">
      <c r="A357" s="30"/>
      <c r="B357" s="30"/>
      <c r="C357" s="30"/>
      <c r="D357" s="30"/>
      <c r="E357" s="30"/>
      <c r="F357" s="30"/>
      <c r="G357" s="30"/>
      <c r="H357" s="30"/>
      <c r="I357" s="30"/>
      <c r="J357" s="30"/>
      <c r="K357" s="30"/>
      <c r="L357" s="30"/>
      <c r="M357" s="30"/>
      <c r="N357" s="30"/>
      <c r="O357" s="30"/>
      <c r="P357" s="30"/>
      <c r="Q357" s="30"/>
      <c r="R357" s="47"/>
      <c r="S357" s="47"/>
      <c r="T357" s="47"/>
      <c r="U357" s="47"/>
      <c r="V357" s="47"/>
      <c r="W357" s="47"/>
      <c r="X357" s="47"/>
      <c r="Y357" s="47"/>
      <c r="Z357" s="47"/>
      <c r="AA357" s="47"/>
      <c r="AB357" s="9"/>
      <c r="AC357" s="9"/>
      <c r="AD357" s="9"/>
      <c r="AE357" s="30"/>
      <c r="AF357" s="30"/>
      <c r="AG357" s="30"/>
      <c r="AH357" s="30"/>
      <c r="AI357" s="30"/>
      <c r="AJ357" s="59"/>
      <c r="AK357" s="30"/>
      <c r="AL357"/>
      <c r="AM357"/>
      <c r="AN357"/>
      <c r="AO357"/>
      <c r="AP357"/>
      <c r="AQ357"/>
      <c r="AR357"/>
      <c r="AS357"/>
      <c r="AT357"/>
      <c r="AU357"/>
      <c r="AV357"/>
      <c r="AW357"/>
      <c r="AX357"/>
      <c r="AY357"/>
      <c r="AZ357"/>
      <c r="BA357"/>
      <c r="BB357"/>
      <c r="BC357"/>
      <c r="BD357"/>
      <c r="BE357"/>
      <c r="BF357"/>
      <c r="BG357"/>
      <c r="BH357"/>
      <c r="BI357"/>
      <c r="BJ357"/>
      <c r="BK357"/>
      <c r="BL357"/>
      <c r="BM357"/>
      <c r="BN357"/>
      <c r="BO357"/>
      <c r="BP357"/>
      <c r="BQ357"/>
      <c r="BR357"/>
      <c r="BS357"/>
      <c r="BT357"/>
      <c r="BU357"/>
      <c r="BV357"/>
      <c r="BW357"/>
      <c r="BX357"/>
      <c r="BY357"/>
      <c r="BZ357"/>
      <c r="CA357"/>
      <c r="CB357"/>
      <c r="CC357"/>
      <c r="CD357"/>
      <c r="CE357"/>
      <c r="CF357"/>
      <c r="CG357"/>
    </row>
    <row r="358" spans="1:85" ht="15">
      <c r="A358" s="30"/>
      <c r="B358" s="30"/>
      <c r="C358" s="30"/>
      <c r="D358" s="30"/>
      <c r="E358" s="30"/>
      <c r="F358" s="30"/>
      <c r="G358" s="30"/>
      <c r="H358" s="30"/>
      <c r="I358" s="30"/>
      <c r="J358" s="30"/>
      <c r="K358" s="30"/>
      <c r="L358" s="30"/>
      <c r="M358" s="30"/>
      <c r="N358" s="30"/>
      <c r="O358" s="30"/>
      <c r="P358" s="30"/>
      <c r="Q358" s="30"/>
      <c r="R358" s="47"/>
      <c r="S358" s="47"/>
      <c r="T358" s="47"/>
      <c r="U358" s="47"/>
      <c r="V358" s="47"/>
      <c r="W358" s="47"/>
      <c r="X358" s="47"/>
      <c r="Y358" s="47"/>
      <c r="Z358" s="47"/>
      <c r="AA358" s="47"/>
      <c r="AB358" s="9"/>
      <c r="AC358" s="9"/>
      <c r="AD358" s="9"/>
      <c r="AE358" s="30"/>
      <c r="AF358" s="30"/>
      <c r="AG358" s="30"/>
      <c r="AH358" s="30"/>
      <c r="AI358" s="30"/>
      <c r="AJ358" s="59"/>
      <c r="AK358" s="30"/>
      <c r="AL358"/>
      <c r="AM358"/>
      <c r="AN358"/>
      <c r="AO358"/>
      <c r="AP358"/>
      <c r="AQ358"/>
      <c r="AR358"/>
      <c r="AS358"/>
      <c r="AT358"/>
      <c r="AU358"/>
      <c r="AV358"/>
      <c r="AW358"/>
      <c r="AX358"/>
      <c r="AY358"/>
      <c r="AZ358"/>
      <c r="BA358"/>
      <c r="BB358"/>
      <c r="BC358"/>
      <c r="BD358"/>
      <c r="BE358"/>
      <c r="BF358"/>
      <c r="BG358"/>
      <c r="BH358"/>
      <c r="BI358"/>
      <c r="BJ358"/>
      <c r="BK358"/>
      <c r="BL358"/>
      <c r="BM358"/>
      <c r="BN358"/>
      <c r="BO358"/>
      <c r="BP358"/>
      <c r="BQ358"/>
      <c r="BR358"/>
      <c r="BS358"/>
      <c r="BT358"/>
      <c r="BU358"/>
      <c r="BV358"/>
      <c r="BW358"/>
      <c r="BX358"/>
      <c r="BY358"/>
      <c r="BZ358"/>
      <c r="CA358"/>
      <c r="CB358"/>
      <c r="CC358"/>
      <c r="CD358"/>
      <c r="CE358"/>
      <c r="CF358"/>
      <c r="CG358"/>
    </row>
    <row r="359" spans="1:85" ht="15">
      <c r="A359" s="30"/>
      <c r="B359" s="30"/>
      <c r="C359" s="30"/>
      <c r="D359" s="30"/>
      <c r="E359" s="30"/>
      <c r="F359" s="30"/>
      <c r="G359" s="30"/>
      <c r="H359" s="30"/>
      <c r="I359" s="30"/>
      <c r="J359" s="30"/>
      <c r="K359" s="30"/>
      <c r="L359" s="30"/>
      <c r="M359" s="30"/>
      <c r="N359" s="30"/>
      <c r="O359" s="30"/>
      <c r="P359" s="30"/>
      <c r="Q359" s="30"/>
      <c r="R359" s="47"/>
      <c r="S359" s="47"/>
      <c r="T359" s="47"/>
      <c r="U359" s="47"/>
      <c r="V359" s="47"/>
      <c r="W359" s="47"/>
      <c r="X359" s="47"/>
      <c r="Y359" s="47"/>
      <c r="Z359" s="47"/>
      <c r="AA359" s="47"/>
      <c r="AB359" s="9"/>
      <c r="AC359" s="9"/>
      <c r="AD359" s="9"/>
      <c r="AE359" s="30"/>
      <c r="AF359" s="30"/>
      <c r="AG359" s="30"/>
      <c r="AH359" s="30"/>
      <c r="AI359" s="30"/>
      <c r="AJ359" s="59"/>
      <c r="AK359" s="30"/>
      <c r="AL359"/>
      <c r="AM359"/>
      <c r="AN359"/>
      <c r="AO359"/>
      <c r="AP359"/>
      <c r="AQ359"/>
      <c r="AR359"/>
      <c r="AS359"/>
      <c r="AT359"/>
      <c r="AU359"/>
      <c r="AV359"/>
      <c r="AW359"/>
      <c r="AX359"/>
      <c r="AY359"/>
      <c r="AZ359"/>
      <c r="BA359"/>
      <c r="BB359"/>
      <c r="BC359"/>
      <c r="BD359"/>
      <c r="BE359"/>
      <c r="BF359"/>
      <c r="BG359"/>
      <c r="BH359"/>
      <c r="BI359"/>
      <c r="BJ359"/>
      <c r="BK359"/>
      <c r="BL359"/>
      <c r="BM359"/>
      <c r="BN359"/>
      <c r="BO359"/>
      <c r="BP359"/>
      <c r="BQ359"/>
      <c r="BR359"/>
      <c r="BS359"/>
      <c r="BT359"/>
      <c r="BU359"/>
      <c r="BV359"/>
      <c r="BW359"/>
      <c r="BX359"/>
      <c r="BY359"/>
      <c r="BZ359"/>
      <c r="CA359"/>
      <c r="CB359"/>
      <c r="CC359"/>
      <c r="CD359"/>
      <c r="CE359"/>
      <c r="CF359"/>
      <c r="CG359"/>
    </row>
    <row r="360" spans="1:85" ht="15">
      <c r="A360" s="30"/>
      <c r="B360" s="30"/>
      <c r="C360" s="30"/>
      <c r="D360" s="30"/>
      <c r="E360" s="30"/>
      <c r="F360" s="30"/>
      <c r="G360" s="30"/>
      <c r="H360" s="30"/>
      <c r="I360" s="30"/>
      <c r="J360" s="30"/>
      <c r="K360" s="30"/>
      <c r="L360" s="30"/>
      <c r="M360" s="30"/>
      <c r="N360" s="30"/>
      <c r="O360" s="30"/>
      <c r="P360" s="30"/>
      <c r="Q360" s="30"/>
      <c r="R360" s="47"/>
      <c r="S360" s="47"/>
      <c r="T360" s="47"/>
      <c r="U360" s="47"/>
      <c r="V360" s="47"/>
      <c r="W360" s="47"/>
      <c r="X360" s="47"/>
      <c r="Y360" s="47"/>
      <c r="Z360" s="47"/>
      <c r="AA360" s="47"/>
      <c r="AB360" s="9"/>
      <c r="AC360" s="9"/>
      <c r="AD360" s="9"/>
      <c r="AE360" s="30"/>
      <c r="AF360" s="30"/>
      <c r="AG360" s="30"/>
      <c r="AH360" s="30"/>
      <c r="AI360" s="30"/>
      <c r="AJ360" s="59"/>
      <c r="AK360" s="30"/>
      <c r="AL360"/>
      <c r="AM360"/>
      <c r="AN360"/>
      <c r="AO360"/>
      <c r="AP360"/>
      <c r="AQ360"/>
      <c r="AR360"/>
      <c r="AS360"/>
      <c r="AT360"/>
      <c r="AU360"/>
      <c r="AV360"/>
      <c r="AW360"/>
      <c r="AX360"/>
      <c r="AY360"/>
      <c r="AZ360"/>
      <c r="BA360"/>
      <c r="BB360"/>
      <c r="BC360"/>
      <c r="BD360"/>
      <c r="BE360"/>
      <c r="BF360"/>
      <c r="BG360"/>
      <c r="BH360"/>
      <c r="BI360"/>
      <c r="BJ360"/>
      <c r="BK360"/>
      <c r="BL360"/>
      <c r="BM360"/>
      <c r="BN360"/>
      <c r="BO360"/>
      <c r="BP360"/>
      <c r="BQ360"/>
      <c r="BR360"/>
      <c r="BS360"/>
      <c r="BT360"/>
      <c r="BU360"/>
      <c r="BV360"/>
      <c r="BW360"/>
      <c r="BX360"/>
      <c r="BY360"/>
      <c r="BZ360"/>
      <c r="CA360"/>
      <c r="CB360"/>
      <c r="CC360"/>
      <c r="CD360"/>
      <c r="CE360"/>
      <c r="CF360"/>
      <c r="CG360"/>
    </row>
    <row r="361" spans="1:85" ht="15">
      <c r="A361" s="30"/>
      <c r="B361" s="30"/>
      <c r="C361" s="30"/>
      <c r="D361" s="30"/>
      <c r="E361" s="30"/>
      <c r="F361" s="30"/>
      <c r="G361" s="30"/>
      <c r="H361" s="30"/>
      <c r="I361" s="30"/>
      <c r="J361" s="30"/>
      <c r="K361" s="30"/>
      <c r="L361" s="30"/>
      <c r="M361" s="30"/>
      <c r="N361" s="30"/>
      <c r="O361" s="30"/>
      <c r="P361" s="30"/>
      <c r="Q361" s="30"/>
      <c r="R361" s="47"/>
      <c r="S361" s="47"/>
      <c r="T361" s="47"/>
      <c r="U361" s="47"/>
      <c r="V361" s="47"/>
      <c r="W361" s="47"/>
      <c r="X361" s="47"/>
      <c r="Y361" s="47"/>
      <c r="Z361" s="47"/>
      <c r="AA361" s="47"/>
      <c r="AB361" s="9"/>
      <c r="AC361" s="9"/>
      <c r="AD361" s="9"/>
      <c r="AE361" s="30"/>
      <c r="AF361" s="30"/>
      <c r="AG361" s="30"/>
      <c r="AH361" s="30"/>
      <c r="AI361" s="30"/>
      <c r="AJ361" s="59"/>
      <c r="AK361" s="30"/>
      <c r="AL361"/>
      <c r="AM361"/>
      <c r="AN361"/>
      <c r="AO361"/>
      <c r="AP361"/>
      <c r="AQ361"/>
      <c r="AR361"/>
      <c r="AS361"/>
      <c r="AT361"/>
      <c r="AU361"/>
      <c r="AV361"/>
      <c r="AW361"/>
      <c r="AX361"/>
      <c r="AY361"/>
      <c r="AZ361"/>
      <c r="BA361"/>
      <c r="BB361"/>
      <c r="BC361"/>
      <c r="BD361"/>
      <c r="BE361"/>
      <c r="BF361"/>
      <c r="BG361"/>
      <c r="BH361"/>
      <c r="BI361"/>
      <c r="BJ361"/>
      <c r="BK361"/>
      <c r="BL361"/>
      <c r="BM361"/>
      <c r="BN361"/>
      <c r="BO361"/>
      <c r="BP361"/>
      <c r="BQ361"/>
      <c r="BR361"/>
      <c r="BS361"/>
      <c r="BT361"/>
      <c r="BU361"/>
      <c r="BV361"/>
      <c r="BW361"/>
      <c r="BX361"/>
      <c r="BY361"/>
      <c r="BZ361"/>
      <c r="CA361"/>
      <c r="CB361"/>
      <c r="CC361"/>
      <c r="CD361"/>
      <c r="CE361"/>
      <c r="CF361"/>
      <c r="CG361"/>
    </row>
    <row r="362" spans="1:85" ht="15">
      <c r="A362" s="30"/>
      <c r="B362" s="30"/>
      <c r="C362" s="30"/>
      <c r="D362" s="30"/>
      <c r="E362" s="30"/>
      <c r="F362" s="30"/>
      <c r="G362" s="30"/>
      <c r="H362" s="30"/>
      <c r="I362" s="30"/>
      <c r="J362" s="30"/>
      <c r="K362" s="30"/>
      <c r="L362" s="30"/>
      <c r="M362" s="30"/>
      <c r="N362" s="30"/>
      <c r="O362" s="30"/>
      <c r="P362" s="30"/>
      <c r="Q362" s="30"/>
      <c r="R362" s="47"/>
      <c r="S362" s="47"/>
      <c r="T362" s="47"/>
      <c r="U362" s="47"/>
      <c r="V362" s="47"/>
      <c r="W362" s="47"/>
      <c r="X362" s="47"/>
      <c r="Y362" s="47"/>
      <c r="Z362" s="47"/>
      <c r="AA362" s="47"/>
      <c r="AB362" s="9"/>
      <c r="AC362" s="9"/>
      <c r="AD362" s="9"/>
      <c r="AE362" s="30"/>
      <c r="AF362" s="30"/>
      <c r="AG362" s="30"/>
      <c r="AH362" s="30"/>
      <c r="AI362" s="30"/>
      <c r="AJ362" s="59"/>
      <c r="AK362" s="30"/>
      <c r="AL362"/>
      <c r="AM362"/>
      <c r="AN362"/>
      <c r="AO362"/>
      <c r="AP362"/>
      <c r="AQ362"/>
      <c r="AR362"/>
      <c r="AS362"/>
      <c r="AT362"/>
      <c r="AU362"/>
      <c r="AV362"/>
      <c r="AW362"/>
      <c r="AX362"/>
      <c r="AY362"/>
      <c r="AZ362"/>
      <c r="BA362"/>
      <c r="BB362"/>
      <c r="BC362"/>
      <c r="BD362"/>
      <c r="BE362"/>
      <c r="BF362"/>
      <c r="BG362"/>
      <c r="BH362"/>
      <c r="BI362"/>
      <c r="BJ362"/>
      <c r="BK362"/>
      <c r="BL362"/>
      <c r="BM362"/>
      <c r="BN362"/>
      <c r="BO362"/>
      <c r="BP362"/>
      <c r="BQ362"/>
      <c r="BR362"/>
      <c r="BS362"/>
      <c r="BT362"/>
      <c r="BU362"/>
      <c r="BV362"/>
      <c r="BW362"/>
      <c r="BX362"/>
      <c r="BY362"/>
      <c r="BZ362"/>
      <c r="CA362"/>
      <c r="CB362"/>
      <c r="CC362"/>
      <c r="CD362"/>
      <c r="CE362"/>
      <c r="CF362"/>
      <c r="CG362"/>
    </row>
    <row r="363" spans="1:85" ht="15">
      <c r="A363" s="30"/>
      <c r="B363" s="30"/>
      <c r="C363" s="30"/>
      <c r="D363" s="30"/>
      <c r="E363" s="30"/>
      <c r="F363" s="30"/>
      <c r="G363" s="30"/>
      <c r="H363" s="30"/>
      <c r="I363" s="30"/>
      <c r="J363" s="30"/>
      <c r="K363" s="30"/>
      <c r="L363" s="30"/>
      <c r="M363" s="30"/>
      <c r="N363" s="30"/>
      <c r="O363" s="30"/>
      <c r="P363" s="30"/>
      <c r="Q363" s="30"/>
      <c r="R363" s="47"/>
      <c r="S363" s="47"/>
      <c r="T363" s="47"/>
      <c r="U363" s="47"/>
      <c r="V363" s="47"/>
      <c r="W363" s="47"/>
      <c r="X363" s="47"/>
      <c r="Y363" s="47"/>
      <c r="Z363" s="47"/>
      <c r="AA363" s="47"/>
      <c r="AB363" s="9"/>
      <c r="AC363" s="9"/>
      <c r="AD363" s="9"/>
      <c r="AE363" s="30"/>
      <c r="AF363" s="30"/>
      <c r="AG363" s="30"/>
      <c r="AH363" s="30"/>
      <c r="AI363" s="30"/>
      <c r="AJ363" s="59"/>
      <c r="AK363" s="30"/>
      <c r="AL363"/>
      <c r="AM363"/>
      <c r="AN363"/>
      <c r="AO363"/>
      <c r="AP363"/>
      <c r="AQ363"/>
      <c r="AR363"/>
      <c r="AS363"/>
      <c r="AT363"/>
      <c r="AU363"/>
      <c r="AV363"/>
      <c r="AW363"/>
      <c r="AX363"/>
      <c r="AY363"/>
      <c r="AZ363"/>
      <c r="BA363"/>
      <c r="BB363"/>
      <c r="BC363"/>
      <c r="BD363"/>
      <c r="BE363"/>
      <c r="BF363"/>
      <c r="BG363"/>
      <c r="BH363"/>
      <c r="BI363"/>
      <c r="BJ363"/>
      <c r="BK363"/>
      <c r="BL363"/>
      <c r="BM363"/>
      <c r="BN363"/>
      <c r="BO363"/>
      <c r="BP363"/>
      <c r="BQ363"/>
      <c r="BR363"/>
      <c r="BS363"/>
      <c r="BT363"/>
      <c r="BU363"/>
      <c r="BV363"/>
      <c r="BW363"/>
      <c r="BX363"/>
      <c r="BY363"/>
      <c r="BZ363"/>
      <c r="CA363"/>
      <c r="CB363"/>
      <c r="CC363"/>
      <c r="CD363"/>
      <c r="CE363"/>
      <c r="CF363"/>
      <c r="CG363"/>
    </row>
    <row r="364" spans="1:85" ht="15">
      <c r="A364" s="30"/>
      <c r="B364" s="30"/>
      <c r="C364" s="30"/>
      <c r="D364" s="30"/>
      <c r="E364" s="30"/>
      <c r="F364" s="30"/>
      <c r="G364" s="30"/>
      <c r="H364" s="30"/>
      <c r="I364" s="30"/>
      <c r="J364" s="30"/>
      <c r="K364" s="30"/>
      <c r="L364" s="30"/>
      <c r="M364" s="30"/>
      <c r="N364" s="30"/>
      <c r="O364" s="30"/>
      <c r="P364" s="30"/>
      <c r="Q364" s="30"/>
      <c r="R364" s="47"/>
      <c r="S364" s="47"/>
      <c r="T364" s="47"/>
      <c r="U364" s="47"/>
      <c r="V364" s="47"/>
      <c r="W364" s="47"/>
      <c r="X364" s="47"/>
      <c r="Y364" s="47"/>
      <c r="Z364" s="47"/>
      <c r="AA364" s="47"/>
      <c r="AB364" s="9"/>
      <c r="AC364" s="9"/>
      <c r="AD364" s="9"/>
      <c r="AE364" s="30"/>
      <c r="AF364" s="30"/>
      <c r="AG364" s="30"/>
      <c r="AH364" s="30"/>
      <c r="AI364" s="30"/>
      <c r="AJ364" s="59"/>
      <c r="AK364" s="30"/>
      <c r="AL364"/>
      <c r="AM364"/>
      <c r="AN364"/>
      <c r="AO364"/>
      <c r="AP364"/>
      <c r="AQ364"/>
      <c r="AR364"/>
      <c r="AS364"/>
      <c r="AT364"/>
      <c r="AU364"/>
      <c r="AV364"/>
      <c r="AW364"/>
      <c r="AX364"/>
      <c r="AY364"/>
      <c r="AZ364"/>
      <c r="BA364"/>
      <c r="BB364"/>
      <c r="BC364"/>
      <c r="BD364"/>
      <c r="BE364"/>
      <c r="BF364"/>
      <c r="BG364"/>
      <c r="BH364"/>
      <c r="BI364"/>
      <c r="BJ364"/>
      <c r="BK364"/>
      <c r="BL364"/>
      <c r="BM364"/>
      <c r="BN364"/>
      <c r="BO364"/>
      <c r="BP364"/>
      <c r="BQ364"/>
      <c r="BR364"/>
      <c r="BS364"/>
      <c r="BT364"/>
      <c r="BU364"/>
      <c r="BV364"/>
      <c r="BW364"/>
      <c r="BX364"/>
      <c r="BY364"/>
      <c r="BZ364"/>
      <c r="CA364"/>
      <c r="CB364"/>
      <c r="CC364"/>
      <c r="CD364"/>
      <c r="CE364"/>
      <c r="CF364"/>
      <c r="CG364"/>
    </row>
    <row r="365" spans="1:85" ht="15">
      <c r="A365" s="30"/>
      <c r="B365" s="30"/>
      <c r="C365" s="30"/>
      <c r="D365" s="30"/>
      <c r="E365" s="30"/>
      <c r="F365" s="30"/>
      <c r="G365" s="30"/>
      <c r="H365" s="30"/>
      <c r="I365" s="30"/>
      <c r="J365" s="30"/>
      <c r="K365" s="30"/>
      <c r="L365" s="30"/>
      <c r="M365" s="30"/>
      <c r="N365" s="30"/>
      <c r="O365" s="30"/>
      <c r="P365" s="30"/>
      <c r="Q365" s="30"/>
      <c r="R365" s="47"/>
      <c r="S365" s="47"/>
      <c r="T365" s="47"/>
      <c r="U365" s="47"/>
      <c r="V365" s="47"/>
      <c r="W365" s="47"/>
      <c r="X365" s="47"/>
      <c r="Y365" s="47"/>
      <c r="Z365" s="47"/>
      <c r="AA365" s="47"/>
      <c r="AB365" s="9"/>
      <c r="AC365" s="9"/>
      <c r="AD365" s="9"/>
      <c r="AE365" s="30"/>
      <c r="AF365" s="30"/>
      <c r="AG365" s="30"/>
      <c r="AH365" s="30"/>
      <c r="AI365" s="30"/>
      <c r="AJ365" s="59"/>
      <c r="AK365" s="30"/>
      <c r="AL365"/>
      <c r="AM365"/>
      <c r="AN365"/>
      <c r="AO365"/>
      <c r="AP365"/>
      <c r="AQ365"/>
      <c r="AR365"/>
      <c r="AS365"/>
      <c r="AT365"/>
      <c r="AU365"/>
      <c r="AV365"/>
      <c r="AW365"/>
      <c r="AX365"/>
      <c r="AY365"/>
      <c r="AZ365"/>
      <c r="BA365"/>
      <c r="BB365"/>
      <c r="BC365"/>
      <c r="BD365"/>
      <c r="BE365"/>
      <c r="BF365"/>
      <c r="BG365"/>
      <c r="BH365"/>
      <c r="BI365"/>
      <c r="BJ365"/>
      <c r="BK365"/>
      <c r="BL365"/>
      <c r="BM365"/>
      <c r="BN365"/>
      <c r="BO365"/>
      <c r="BP365"/>
      <c r="BQ365"/>
      <c r="BR365"/>
      <c r="BS365"/>
      <c r="BT365"/>
      <c r="BU365"/>
      <c r="BV365"/>
      <c r="BW365"/>
      <c r="BX365"/>
      <c r="BY365"/>
      <c r="BZ365"/>
      <c r="CA365"/>
      <c r="CB365"/>
      <c r="CC365"/>
      <c r="CD365"/>
      <c r="CE365"/>
      <c r="CF365"/>
      <c r="CG365"/>
    </row>
    <row r="366" spans="1:85" ht="15">
      <c r="A366" s="30"/>
      <c r="B366" s="30"/>
      <c r="C366" s="30"/>
      <c r="D366" s="30"/>
      <c r="E366" s="30"/>
      <c r="F366" s="30"/>
      <c r="G366" s="30"/>
      <c r="H366" s="30"/>
      <c r="I366" s="30"/>
      <c r="J366" s="30"/>
      <c r="K366" s="30"/>
      <c r="L366" s="30"/>
      <c r="M366" s="30"/>
      <c r="N366" s="30"/>
      <c r="O366" s="30"/>
      <c r="P366" s="30"/>
      <c r="Q366" s="30"/>
      <c r="R366" s="47"/>
      <c r="S366" s="47"/>
      <c r="T366" s="47"/>
      <c r="U366" s="47"/>
      <c r="V366" s="47"/>
      <c r="W366" s="47"/>
      <c r="X366" s="47"/>
      <c r="Y366" s="47"/>
      <c r="Z366" s="47"/>
      <c r="AA366" s="47"/>
      <c r="AB366" s="9"/>
      <c r="AC366" s="9"/>
      <c r="AD366" s="9"/>
      <c r="AE366" s="30"/>
      <c r="AF366" s="30"/>
      <c r="AG366" s="30"/>
      <c r="AH366" s="30"/>
      <c r="AI366" s="30"/>
      <c r="AJ366" s="59"/>
      <c r="AK366" s="30"/>
      <c r="AL366"/>
      <c r="AM366"/>
      <c r="AN366"/>
      <c r="AO366"/>
      <c r="AP366"/>
      <c r="AQ366"/>
      <c r="AR366"/>
      <c r="AS366"/>
      <c r="AT366"/>
      <c r="AU366"/>
      <c r="AV366"/>
      <c r="AW366"/>
      <c r="AX366"/>
      <c r="AY366"/>
      <c r="AZ366"/>
      <c r="BA366"/>
      <c r="BB366"/>
      <c r="BC366"/>
      <c r="BD366"/>
      <c r="BE366"/>
      <c r="BF366"/>
      <c r="BG366"/>
      <c r="BH366"/>
      <c r="BI366"/>
      <c r="BJ366"/>
      <c r="BK366"/>
      <c r="BL366"/>
      <c r="BM366"/>
      <c r="BN366"/>
      <c r="BO366"/>
      <c r="BP366"/>
      <c r="BQ366"/>
      <c r="BR366"/>
      <c r="BS366"/>
      <c r="BT366"/>
      <c r="BU366"/>
      <c r="BV366"/>
      <c r="BW366"/>
      <c r="BX366"/>
      <c r="BY366"/>
      <c r="BZ366"/>
      <c r="CA366"/>
      <c r="CB366"/>
      <c r="CC366"/>
      <c r="CD366"/>
      <c r="CE366"/>
      <c r="CF366"/>
      <c r="CG366"/>
    </row>
    <row r="367" spans="1:85" ht="15">
      <c r="A367" s="30"/>
      <c r="B367" s="30"/>
      <c r="C367" s="30"/>
      <c r="D367" s="30"/>
      <c r="E367" s="30"/>
      <c r="F367" s="30"/>
      <c r="G367" s="30"/>
      <c r="H367" s="30"/>
      <c r="I367" s="30"/>
      <c r="J367" s="30"/>
      <c r="K367" s="30"/>
      <c r="L367" s="30"/>
      <c r="M367" s="30"/>
      <c r="N367" s="30"/>
      <c r="O367" s="30"/>
      <c r="P367" s="30"/>
      <c r="Q367" s="30"/>
      <c r="R367" s="47"/>
      <c r="S367" s="47"/>
      <c r="T367" s="47"/>
      <c r="U367" s="47"/>
      <c r="V367" s="47"/>
      <c r="W367" s="47"/>
      <c r="X367" s="47"/>
      <c r="Y367" s="47"/>
      <c r="Z367" s="47"/>
      <c r="AA367" s="47"/>
      <c r="AB367" s="9"/>
      <c r="AC367" s="9"/>
      <c r="AD367" s="9"/>
      <c r="AE367" s="30"/>
      <c r="AF367" s="30"/>
      <c r="AG367" s="30"/>
      <c r="AH367" s="30"/>
      <c r="AI367" s="30"/>
      <c r="AJ367" s="59"/>
      <c r="AK367" s="30"/>
      <c r="AL367"/>
      <c r="AM367"/>
      <c r="AN367"/>
      <c r="AO367"/>
      <c r="AP367"/>
      <c r="AQ367"/>
      <c r="AR367"/>
      <c r="AS367"/>
      <c r="AT367"/>
      <c r="AU367"/>
      <c r="AV367"/>
      <c r="AW367"/>
      <c r="AX367"/>
      <c r="AY367"/>
      <c r="AZ367"/>
      <c r="BA367"/>
      <c r="BB367"/>
      <c r="BC367"/>
      <c r="BD367"/>
      <c r="BE367"/>
      <c r="BF367"/>
      <c r="BG367"/>
      <c r="BH367"/>
      <c r="BI367"/>
      <c r="BJ367"/>
      <c r="BK367"/>
      <c r="BL367"/>
      <c r="BM367"/>
      <c r="BN367"/>
      <c r="BO367"/>
      <c r="BP367"/>
      <c r="BQ367"/>
      <c r="BR367"/>
      <c r="BS367"/>
      <c r="BT367"/>
      <c r="BU367"/>
      <c r="BV367"/>
      <c r="BW367"/>
      <c r="BX367"/>
      <c r="BY367"/>
      <c r="BZ367"/>
      <c r="CA367"/>
      <c r="CB367"/>
      <c r="CC367"/>
      <c r="CD367"/>
      <c r="CE367"/>
      <c r="CF367"/>
      <c r="CG367"/>
    </row>
    <row r="368" spans="1:85" ht="15">
      <c r="A368" s="30"/>
      <c r="B368" s="30"/>
      <c r="C368" s="30"/>
      <c r="D368" s="30"/>
      <c r="E368" s="30"/>
      <c r="F368" s="30"/>
      <c r="G368" s="30"/>
      <c r="H368" s="30"/>
      <c r="I368" s="30"/>
      <c r="J368" s="30"/>
      <c r="K368" s="30"/>
      <c r="L368" s="30"/>
      <c r="M368" s="30"/>
      <c r="N368" s="30"/>
      <c r="O368" s="30"/>
      <c r="P368" s="30"/>
      <c r="Q368" s="30"/>
      <c r="R368" s="47"/>
      <c r="S368" s="47"/>
      <c r="T368" s="47"/>
      <c r="U368" s="47"/>
      <c r="V368" s="47"/>
      <c r="W368" s="47"/>
      <c r="X368" s="47"/>
      <c r="Y368" s="47"/>
      <c r="Z368" s="47"/>
      <c r="AA368" s="47"/>
      <c r="AB368" s="9"/>
      <c r="AC368" s="9"/>
      <c r="AD368" s="9"/>
      <c r="AE368" s="30"/>
      <c r="AF368" s="30"/>
      <c r="AG368" s="30"/>
      <c r="AH368" s="30"/>
      <c r="AI368" s="30"/>
      <c r="AJ368" s="59"/>
      <c r="AK368" s="30"/>
      <c r="AL368"/>
      <c r="AM368"/>
      <c r="AN368"/>
      <c r="AO368"/>
      <c r="AP368"/>
      <c r="AQ368"/>
      <c r="AR368"/>
      <c r="AS368"/>
      <c r="AT368"/>
      <c r="AU368"/>
      <c r="AV368"/>
      <c r="AW368"/>
      <c r="AX368"/>
      <c r="AY368"/>
      <c r="AZ368"/>
      <c r="BA368"/>
      <c r="BB368"/>
      <c r="BC368"/>
      <c r="BD368"/>
      <c r="BE368"/>
      <c r="BF368"/>
      <c r="BG368"/>
      <c r="BH368"/>
      <c r="BI368"/>
      <c r="BJ368"/>
      <c r="BK368"/>
      <c r="BL368"/>
      <c r="BM368"/>
      <c r="BN368"/>
      <c r="BO368"/>
      <c r="BP368"/>
      <c r="BQ368"/>
      <c r="BR368"/>
      <c r="BS368"/>
      <c r="BT368"/>
      <c r="BU368"/>
      <c r="BV368"/>
      <c r="BW368"/>
      <c r="BX368"/>
      <c r="BY368"/>
      <c r="BZ368"/>
      <c r="CA368"/>
      <c r="CB368"/>
      <c r="CC368"/>
      <c r="CD368"/>
      <c r="CE368"/>
      <c r="CF368"/>
      <c r="CG368"/>
    </row>
    <row r="369" spans="1:85" ht="15">
      <c r="A369" s="30"/>
      <c r="B369" s="30"/>
      <c r="C369" s="30"/>
      <c r="D369" s="30"/>
      <c r="E369" s="30"/>
      <c r="F369" s="30"/>
      <c r="G369" s="30"/>
      <c r="H369" s="30"/>
      <c r="I369" s="30"/>
      <c r="J369" s="30"/>
      <c r="K369" s="30"/>
      <c r="L369" s="30"/>
      <c r="M369" s="30"/>
      <c r="N369" s="30"/>
      <c r="O369" s="30"/>
      <c r="P369" s="30"/>
      <c r="Q369" s="30"/>
      <c r="R369" s="47"/>
      <c r="S369" s="47"/>
      <c r="T369" s="47"/>
      <c r="U369" s="47"/>
      <c r="V369" s="47"/>
      <c r="W369" s="47"/>
      <c r="X369" s="47"/>
      <c r="Y369" s="47"/>
      <c r="Z369" s="47"/>
      <c r="AA369" s="47"/>
      <c r="AB369" s="9"/>
      <c r="AC369" s="9"/>
      <c r="AD369" s="9"/>
      <c r="AE369" s="30"/>
      <c r="AF369" s="30"/>
      <c r="AG369" s="30"/>
      <c r="AH369" s="30"/>
      <c r="AI369" s="30"/>
      <c r="AJ369" s="59"/>
      <c r="AK369" s="30"/>
      <c r="AL369"/>
      <c r="AM369"/>
      <c r="AN369"/>
      <c r="AO369"/>
      <c r="AP369"/>
      <c r="AQ369"/>
      <c r="AR369"/>
      <c r="AS369"/>
      <c r="AT369"/>
      <c r="AU369"/>
      <c r="AV369"/>
      <c r="AW369"/>
      <c r="AX369"/>
      <c r="AY369"/>
      <c r="AZ369"/>
      <c r="BA369"/>
      <c r="BB369"/>
      <c r="BC369"/>
      <c r="BD369"/>
      <c r="BE369"/>
      <c r="BF369"/>
      <c r="BG369"/>
      <c r="BH369"/>
      <c r="BI369"/>
      <c r="BJ369"/>
      <c r="BK369"/>
      <c r="BL369"/>
      <c r="BM369"/>
      <c r="BN369"/>
      <c r="BO369"/>
      <c r="BP369"/>
      <c r="BQ369"/>
      <c r="BR369"/>
      <c r="BS369"/>
      <c r="BT369"/>
      <c r="BU369"/>
      <c r="BV369"/>
      <c r="BW369"/>
      <c r="BX369"/>
      <c r="BY369"/>
      <c r="BZ369"/>
      <c r="CA369"/>
      <c r="CB369"/>
      <c r="CC369"/>
      <c r="CD369"/>
      <c r="CE369"/>
      <c r="CF369"/>
      <c r="CG369"/>
    </row>
    <row r="370" spans="1:85" ht="15">
      <c r="A370" s="30"/>
      <c r="B370" s="30"/>
      <c r="C370" s="30"/>
      <c r="D370" s="30"/>
      <c r="E370" s="30"/>
      <c r="F370" s="30"/>
      <c r="G370" s="30"/>
      <c r="H370" s="30"/>
      <c r="I370" s="30"/>
      <c r="J370" s="30"/>
      <c r="K370" s="30"/>
      <c r="L370" s="30"/>
      <c r="M370" s="30"/>
      <c r="N370" s="30"/>
      <c r="O370" s="30"/>
      <c r="P370" s="30"/>
      <c r="Q370" s="30"/>
      <c r="R370" s="47"/>
      <c r="S370" s="47"/>
      <c r="T370" s="47"/>
      <c r="U370" s="47"/>
      <c r="V370" s="47"/>
      <c r="W370" s="47"/>
      <c r="X370" s="47"/>
      <c r="Y370" s="47"/>
      <c r="Z370" s="47"/>
      <c r="AA370" s="47"/>
      <c r="AB370" s="9"/>
      <c r="AC370" s="9"/>
      <c r="AD370" s="9"/>
      <c r="AE370" s="30"/>
      <c r="AF370" s="30"/>
      <c r="AG370" s="30"/>
      <c r="AH370" s="30"/>
      <c r="AI370" s="30"/>
      <c r="AJ370" s="59"/>
      <c r="AK370" s="30"/>
      <c r="AL370"/>
      <c r="AM370"/>
      <c r="AN370"/>
      <c r="AO370"/>
      <c r="AP370"/>
      <c r="AQ370"/>
      <c r="AR370"/>
      <c r="AS370"/>
      <c r="AT370"/>
      <c r="AU370"/>
      <c r="AV370"/>
      <c r="AW370"/>
      <c r="AX370"/>
      <c r="AY370"/>
      <c r="AZ370"/>
      <c r="BA370"/>
      <c r="BB370"/>
      <c r="BC370"/>
      <c r="BD370"/>
      <c r="BE370"/>
      <c r="BF370"/>
      <c r="BG370"/>
      <c r="BH370"/>
      <c r="BI370"/>
      <c r="BJ370"/>
      <c r="BK370"/>
      <c r="BL370"/>
      <c r="BM370"/>
      <c r="BN370"/>
      <c r="BO370"/>
      <c r="BP370"/>
      <c r="BQ370"/>
      <c r="BR370"/>
      <c r="BS370"/>
      <c r="BT370"/>
      <c r="BU370"/>
      <c r="BV370"/>
      <c r="BW370"/>
      <c r="BX370"/>
      <c r="BY370"/>
      <c r="BZ370"/>
      <c r="CA370"/>
      <c r="CB370"/>
      <c r="CC370"/>
      <c r="CD370"/>
      <c r="CE370"/>
      <c r="CF370"/>
      <c r="CG370"/>
    </row>
    <row r="371" spans="1:85" ht="15">
      <c r="A371" s="30"/>
      <c r="B371" s="30"/>
      <c r="C371" s="30"/>
      <c r="D371" s="30"/>
      <c r="E371" s="30"/>
      <c r="F371" s="30"/>
      <c r="G371" s="30"/>
      <c r="H371" s="30"/>
      <c r="I371" s="30"/>
      <c r="J371" s="30"/>
      <c r="K371" s="30"/>
      <c r="L371" s="30"/>
      <c r="M371" s="30"/>
      <c r="N371" s="30"/>
      <c r="O371" s="30"/>
      <c r="P371" s="30"/>
      <c r="Q371" s="30"/>
      <c r="R371" s="47"/>
      <c r="S371" s="47"/>
      <c r="T371" s="47"/>
      <c r="U371" s="47"/>
      <c r="V371" s="47"/>
      <c r="W371" s="47"/>
      <c r="X371" s="47"/>
      <c r="Y371" s="47"/>
      <c r="Z371" s="47"/>
      <c r="AA371" s="47"/>
      <c r="AB371" s="9"/>
      <c r="AC371" s="9"/>
      <c r="AD371" s="9"/>
      <c r="AE371" s="30"/>
      <c r="AF371" s="30"/>
      <c r="AG371" s="30"/>
      <c r="AH371" s="30"/>
      <c r="AI371" s="30"/>
      <c r="AJ371" s="59"/>
      <c r="AK371" s="30"/>
      <c r="AL371"/>
      <c r="AM371"/>
      <c r="AN371"/>
      <c r="AO371"/>
      <c r="AP371"/>
      <c r="AQ371"/>
      <c r="AR371"/>
      <c r="AS371"/>
      <c r="AT371"/>
      <c r="AU371"/>
      <c r="AV371"/>
      <c r="AW371"/>
      <c r="AX371"/>
      <c r="AY371"/>
      <c r="AZ371"/>
      <c r="BA371"/>
      <c r="BB371"/>
      <c r="BC371"/>
      <c r="BD371"/>
      <c r="BE371"/>
      <c r="BF371"/>
      <c r="BG371"/>
      <c r="BH371"/>
      <c r="BI371"/>
      <c r="BJ371"/>
      <c r="BK371"/>
      <c r="BL371"/>
      <c r="BM371"/>
      <c r="BN371"/>
      <c r="BO371"/>
      <c r="BP371"/>
      <c r="BQ371"/>
      <c r="BR371"/>
      <c r="BS371"/>
      <c r="BT371"/>
      <c r="BU371"/>
      <c r="BV371"/>
      <c r="BW371"/>
      <c r="BX371"/>
      <c r="BY371"/>
      <c r="BZ371"/>
      <c r="CA371"/>
      <c r="CB371"/>
      <c r="CC371"/>
      <c r="CD371"/>
      <c r="CE371"/>
      <c r="CF371"/>
      <c r="CG371"/>
    </row>
    <row r="372" spans="1:85" ht="33" customHeight="1">
      <c r="A372" s="30"/>
      <c r="B372" s="30"/>
      <c r="C372" s="30"/>
      <c r="D372" s="30"/>
      <c r="E372" s="30"/>
      <c r="F372" s="30"/>
      <c r="G372" s="30"/>
      <c r="H372" s="30"/>
      <c r="I372" s="30"/>
      <c r="J372" s="30"/>
      <c r="K372" s="30"/>
      <c r="L372" s="30"/>
      <c r="M372" s="30"/>
      <c r="N372" s="30"/>
      <c r="O372" s="30"/>
      <c r="P372" s="30"/>
      <c r="Q372" s="30"/>
      <c r="R372" s="47"/>
      <c r="S372" s="47"/>
      <c r="T372" s="47"/>
      <c r="U372" s="47"/>
      <c r="V372" s="47"/>
      <c r="W372" s="47"/>
      <c r="X372" s="47"/>
      <c r="Y372" s="47"/>
      <c r="Z372" s="47"/>
      <c r="AA372" s="47"/>
      <c r="AB372" s="9"/>
      <c r="AC372" s="9"/>
      <c r="AD372" s="9"/>
      <c r="AE372" s="30"/>
      <c r="AF372" s="30"/>
      <c r="AG372" s="30"/>
      <c r="AH372" s="30"/>
      <c r="AI372" s="30"/>
      <c r="AJ372" s="59"/>
      <c r="AK372" s="30"/>
      <c r="AL372"/>
      <c r="AM372"/>
      <c r="AN372"/>
      <c r="AO372"/>
      <c r="AP372"/>
      <c r="AQ372"/>
      <c r="AR372"/>
      <c r="AS372"/>
      <c r="AT372"/>
      <c r="AU372"/>
      <c r="AV372"/>
      <c r="AW372"/>
      <c r="AX372"/>
      <c r="AY372"/>
      <c r="AZ372"/>
      <c r="BA372"/>
      <c r="BB372"/>
      <c r="BC372"/>
      <c r="BD372"/>
      <c r="BE372"/>
      <c r="BF372"/>
      <c r="BG372"/>
      <c r="BH372"/>
      <c r="BI372"/>
      <c r="BJ372"/>
      <c r="BK372"/>
      <c r="BL372"/>
      <c r="BM372"/>
      <c r="BN372"/>
      <c r="BO372"/>
      <c r="BP372"/>
      <c r="BQ372"/>
      <c r="BR372"/>
      <c r="BS372"/>
      <c r="BT372"/>
      <c r="BU372"/>
      <c r="BV372"/>
      <c r="BW372"/>
      <c r="BX372"/>
      <c r="BY372"/>
      <c r="BZ372"/>
      <c r="CA372"/>
      <c r="CB372"/>
      <c r="CC372"/>
      <c r="CD372"/>
      <c r="CE372"/>
      <c r="CF372"/>
      <c r="CG372"/>
    </row>
    <row r="373" spans="1:85" ht="15">
      <c r="A373" s="30"/>
      <c r="B373" s="30"/>
      <c r="C373" s="30"/>
      <c r="D373" s="30"/>
      <c r="E373" s="30"/>
      <c r="F373" s="30"/>
      <c r="G373" s="30"/>
      <c r="H373" s="30"/>
      <c r="I373" s="30"/>
      <c r="J373" s="30"/>
      <c r="K373" s="30"/>
      <c r="L373" s="30"/>
      <c r="M373" s="30"/>
      <c r="N373" s="30"/>
      <c r="O373" s="30"/>
      <c r="P373" s="30"/>
      <c r="Q373" s="30"/>
      <c r="R373" s="47"/>
      <c r="S373" s="47"/>
      <c r="T373" s="47"/>
      <c r="U373" s="47"/>
      <c r="V373" s="47"/>
      <c r="W373" s="47"/>
      <c r="X373" s="47"/>
      <c r="Y373" s="47"/>
      <c r="Z373" s="47"/>
      <c r="AA373" s="47"/>
      <c r="AB373" s="9"/>
      <c r="AC373" s="9"/>
      <c r="AD373" s="9"/>
      <c r="AE373" s="30"/>
      <c r="AF373" s="30"/>
      <c r="AG373" s="30"/>
      <c r="AH373" s="30"/>
      <c r="AI373" s="30"/>
      <c r="AJ373" s="59"/>
      <c r="AK373" s="30"/>
      <c r="AL373"/>
      <c r="AM373"/>
      <c r="AN373"/>
      <c r="AO373"/>
      <c r="AP373"/>
      <c r="AQ373"/>
      <c r="AR373"/>
      <c r="AS373"/>
      <c r="AT373"/>
      <c r="AU373"/>
      <c r="AV373"/>
      <c r="AW373"/>
      <c r="AX373"/>
      <c r="AY373"/>
      <c r="AZ373"/>
      <c r="BA373"/>
      <c r="BB373"/>
      <c r="BC373"/>
      <c r="BD373"/>
      <c r="BE373"/>
      <c r="BF373"/>
      <c r="BG373"/>
      <c r="BH373"/>
      <c r="BI373"/>
      <c r="BJ373"/>
      <c r="BK373"/>
      <c r="BL373"/>
      <c r="BM373"/>
      <c r="BN373"/>
      <c r="BO373"/>
      <c r="BP373"/>
      <c r="BQ373"/>
      <c r="BR373"/>
      <c r="BS373"/>
      <c r="BT373"/>
      <c r="BU373"/>
      <c r="BV373"/>
      <c r="BW373"/>
      <c r="BX373"/>
      <c r="BY373"/>
      <c r="BZ373"/>
      <c r="CA373"/>
      <c r="CB373"/>
      <c r="CC373"/>
      <c r="CD373"/>
      <c r="CE373"/>
      <c r="CF373"/>
      <c r="CG373"/>
    </row>
    <row r="374" spans="1:85" ht="32.25" customHeight="1">
      <c r="A374" s="30"/>
      <c r="B374" s="30"/>
      <c r="C374" s="30"/>
      <c r="D374" s="30"/>
      <c r="E374" s="30"/>
      <c r="F374" s="30"/>
      <c r="G374" s="30"/>
      <c r="H374" s="30"/>
      <c r="I374" s="30"/>
      <c r="J374" s="30"/>
      <c r="K374" s="30"/>
      <c r="L374" s="30"/>
      <c r="M374" s="30"/>
      <c r="N374" s="30"/>
      <c r="O374" s="30"/>
      <c r="P374" s="30"/>
      <c r="Q374" s="30"/>
      <c r="R374" s="47"/>
      <c r="S374" s="47"/>
      <c r="T374" s="47"/>
      <c r="U374" s="47"/>
      <c r="V374" s="47"/>
      <c r="W374" s="47"/>
      <c r="X374" s="47"/>
      <c r="Y374" s="47"/>
      <c r="Z374" s="47"/>
      <c r="AA374" s="47"/>
      <c r="AE374" s="30"/>
      <c r="AF374" s="30"/>
      <c r="AG374" s="30"/>
      <c r="AH374" s="30"/>
      <c r="AI374" s="30"/>
      <c r="AJ374" s="59"/>
      <c r="AK374" s="30"/>
      <c r="AL374"/>
      <c r="AM374"/>
      <c r="AN374"/>
      <c r="AO374"/>
      <c r="AP374"/>
      <c r="AQ374"/>
      <c r="AR374"/>
      <c r="AS374"/>
      <c r="AT374"/>
      <c r="AU374"/>
      <c r="AV374"/>
      <c r="AW374"/>
      <c r="AX374"/>
      <c r="AY374"/>
      <c r="AZ374"/>
      <c r="BA374"/>
      <c r="BB374"/>
      <c r="BC374"/>
      <c r="BD374"/>
      <c r="BE374"/>
      <c r="BF374"/>
      <c r="BG374"/>
      <c r="BH374"/>
      <c r="BI374"/>
      <c r="BJ374"/>
      <c r="BK374"/>
      <c r="BL374"/>
      <c r="BM374"/>
      <c r="BN374"/>
      <c r="BO374"/>
      <c r="BP374"/>
      <c r="BQ374"/>
      <c r="BR374"/>
      <c r="BS374"/>
      <c r="BT374"/>
      <c r="BU374"/>
      <c r="BV374"/>
      <c r="BW374"/>
      <c r="BX374"/>
      <c r="BY374"/>
      <c r="BZ374"/>
      <c r="CA374"/>
      <c r="CB374"/>
      <c r="CC374"/>
      <c r="CD374"/>
      <c r="CE374"/>
      <c r="CF374"/>
      <c r="CG374"/>
    </row>
    <row r="375" spans="1:85" ht="15">
      <c r="A375" s="30"/>
      <c r="B375" s="30"/>
      <c r="C375" s="30"/>
      <c r="D375" s="30"/>
      <c r="E375" s="30"/>
      <c r="F375" s="30"/>
      <c r="G375" s="30"/>
      <c r="H375" s="30"/>
      <c r="I375" s="30"/>
      <c r="J375" s="30"/>
      <c r="K375" s="30"/>
      <c r="L375" s="30"/>
      <c r="M375" s="30"/>
      <c r="N375" s="30"/>
      <c r="O375" s="30"/>
      <c r="P375" s="30"/>
      <c r="Q375" s="30"/>
      <c r="R375" s="47"/>
      <c r="S375" s="47"/>
      <c r="T375" s="47"/>
      <c r="U375" s="47"/>
      <c r="V375" s="47"/>
      <c r="W375" s="47"/>
      <c r="X375" s="47"/>
      <c r="Y375" s="47"/>
      <c r="Z375" s="47"/>
      <c r="AA375" s="47"/>
      <c r="AE375" s="30"/>
      <c r="AF375" s="30"/>
      <c r="AG375" s="30"/>
      <c r="AH375" s="30"/>
      <c r="AI375" s="30"/>
      <c r="AJ375" s="59"/>
      <c r="AK375" s="30"/>
      <c r="AL375"/>
      <c r="AM375"/>
      <c r="AN375"/>
      <c r="AO375"/>
      <c r="AP375"/>
      <c r="AQ375"/>
      <c r="AR375"/>
      <c r="AS375"/>
      <c r="AT375"/>
      <c r="AU375"/>
      <c r="AV375"/>
      <c r="AW375"/>
      <c r="AX375"/>
      <c r="AY375"/>
      <c r="AZ375"/>
      <c r="BA375"/>
      <c r="BB375"/>
      <c r="BC375"/>
      <c r="BD375"/>
      <c r="BE375"/>
      <c r="BF375"/>
      <c r="BG375"/>
      <c r="BH375"/>
      <c r="BI375"/>
      <c r="BJ375"/>
      <c r="BK375"/>
      <c r="BL375"/>
      <c r="BM375"/>
      <c r="BN375"/>
      <c r="BO375"/>
      <c r="BP375"/>
      <c r="BQ375"/>
      <c r="BR375"/>
      <c r="BS375"/>
      <c r="BT375"/>
      <c r="BU375"/>
      <c r="BV375"/>
      <c r="BW375"/>
      <c r="BX375"/>
      <c r="BY375"/>
      <c r="BZ375"/>
      <c r="CA375"/>
      <c r="CB375"/>
      <c r="CC375"/>
      <c r="CD375"/>
      <c r="CE375"/>
      <c r="CF375"/>
      <c r="CG375"/>
    </row>
    <row r="376" spans="1:85" ht="15">
      <c r="A376" s="30"/>
      <c r="B376" s="30"/>
      <c r="C376" s="30"/>
      <c r="D376" s="30"/>
      <c r="E376" s="30"/>
      <c r="F376" s="30"/>
      <c r="G376" s="30"/>
      <c r="H376" s="30"/>
      <c r="I376" s="30"/>
      <c r="J376" s="30"/>
      <c r="K376" s="30"/>
      <c r="L376" s="30"/>
      <c r="M376" s="30"/>
      <c r="N376" s="30"/>
      <c r="O376" s="30"/>
      <c r="P376" s="30"/>
      <c r="Q376" s="30"/>
      <c r="R376" s="47"/>
      <c r="S376" s="47"/>
      <c r="T376" s="47"/>
      <c r="U376" s="47"/>
      <c r="V376" s="47"/>
      <c r="W376" s="47"/>
      <c r="X376" s="47"/>
      <c r="Y376" s="47"/>
      <c r="Z376" s="47"/>
      <c r="AA376" s="47"/>
      <c r="AE376" s="30"/>
      <c r="AF376" s="30"/>
      <c r="AG376" s="30"/>
      <c r="AH376" s="30"/>
      <c r="AI376" s="30"/>
      <c r="AJ376" s="59"/>
      <c r="AK376" s="30"/>
      <c r="AL376"/>
      <c r="AM376"/>
      <c r="AN376"/>
      <c r="AO376"/>
      <c r="AP376"/>
      <c r="AQ376"/>
      <c r="AR376"/>
      <c r="AS376"/>
      <c r="AT376"/>
      <c r="AU376"/>
      <c r="AV376"/>
      <c r="AW376"/>
      <c r="AX376"/>
      <c r="AY376"/>
      <c r="AZ376"/>
      <c r="BA376"/>
      <c r="BB376"/>
      <c r="BC376"/>
      <c r="BD376"/>
      <c r="BE376"/>
      <c r="BF376"/>
      <c r="BG376"/>
      <c r="BH376"/>
      <c r="BI376"/>
      <c r="BJ376"/>
      <c r="BK376"/>
      <c r="BL376"/>
      <c r="BM376"/>
      <c r="BN376"/>
      <c r="BO376"/>
      <c r="BP376"/>
      <c r="BQ376"/>
      <c r="BR376"/>
      <c r="BS376"/>
      <c r="BT376"/>
      <c r="BU376"/>
      <c r="BV376"/>
      <c r="BW376"/>
      <c r="BX376"/>
      <c r="BY376"/>
      <c r="BZ376"/>
      <c r="CA376"/>
      <c r="CB376"/>
      <c r="CC376"/>
      <c r="CD376"/>
      <c r="CE376"/>
      <c r="CF376"/>
      <c r="CG376"/>
    </row>
    <row r="377" spans="1:85" ht="15">
      <c r="A377" s="30"/>
      <c r="B377" s="30"/>
      <c r="C377" s="30"/>
      <c r="D377" s="30"/>
      <c r="E377" s="30"/>
      <c r="F377" s="30"/>
      <c r="G377" s="30"/>
      <c r="H377" s="30"/>
      <c r="I377" s="30"/>
      <c r="J377" s="30"/>
      <c r="K377" s="30"/>
      <c r="L377" s="30"/>
      <c r="M377" s="30"/>
      <c r="N377" s="30"/>
      <c r="O377" s="30"/>
      <c r="P377" s="30"/>
      <c r="Q377" s="30"/>
      <c r="R377" s="47"/>
      <c r="S377" s="47"/>
      <c r="T377" s="47"/>
      <c r="U377" s="47"/>
      <c r="V377" s="47"/>
      <c r="W377" s="47"/>
      <c r="X377" s="47"/>
      <c r="Y377" s="47"/>
      <c r="Z377" s="47"/>
      <c r="AA377" s="47"/>
      <c r="AE377" s="30"/>
      <c r="AF377" s="30"/>
      <c r="AG377" s="30"/>
      <c r="AH377" s="30"/>
      <c r="AI377" s="30"/>
      <c r="AJ377" s="59"/>
      <c r="AK377" s="30"/>
      <c r="AL377"/>
      <c r="AM377"/>
      <c r="AN377"/>
      <c r="AO377"/>
      <c r="AP377"/>
      <c r="AQ377"/>
      <c r="AR377"/>
      <c r="AS377"/>
      <c r="AT377"/>
      <c r="AU377"/>
      <c r="AV377"/>
      <c r="AW377"/>
      <c r="AX377"/>
      <c r="AY377"/>
      <c r="AZ377"/>
      <c r="BA377"/>
      <c r="BB377"/>
      <c r="BC377"/>
      <c r="BD377"/>
      <c r="BE377"/>
      <c r="BF377"/>
      <c r="BG377"/>
      <c r="BH377"/>
      <c r="BI377"/>
      <c r="BJ377"/>
      <c r="BK377"/>
      <c r="BL377"/>
      <c r="BM377"/>
      <c r="BN377"/>
      <c r="BO377"/>
      <c r="BP377"/>
      <c r="BQ377"/>
      <c r="BR377"/>
      <c r="BS377"/>
      <c r="BT377"/>
      <c r="BU377"/>
      <c r="BV377"/>
      <c r="BW377"/>
      <c r="BX377"/>
      <c r="BY377"/>
      <c r="BZ377"/>
      <c r="CA377"/>
      <c r="CB377"/>
      <c r="CC377"/>
      <c r="CD377"/>
      <c r="CE377"/>
      <c r="CF377"/>
      <c r="CG377"/>
    </row>
    <row r="378" spans="1:85" ht="15">
      <c r="A378" s="30"/>
      <c r="B378" s="30"/>
      <c r="C378" s="30"/>
      <c r="D378" s="30"/>
      <c r="E378" s="30"/>
      <c r="F378" s="30"/>
      <c r="G378" s="30"/>
      <c r="H378" s="30"/>
      <c r="I378" s="30"/>
      <c r="J378" s="30"/>
      <c r="K378" s="30"/>
      <c r="L378" s="30"/>
      <c r="M378" s="30"/>
      <c r="N378" s="30"/>
      <c r="O378" s="30"/>
      <c r="P378" s="30"/>
      <c r="Q378" s="30"/>
      <c r="R378" s="47"/>
      <c r="S378" s="47"/>
      <c r="T378" s="47"/>
      <c r="U378" s="47"/>
      <c r="V378" s="47"/>
      <c r="W378" s="47"/>
      <c r="X378" s="47"/>
      <c r="Y378" s="47"/>
      <c r="Z378" s="47"/>
      <c r="AA378" s="47"/>
      <c r="AE378" s="30"/>
      <c r="AF378" s="30"/>
      <c r="AG378" s="30"/>
      <c r="AH378" s="30"/>
      <c r="AI378" s="30"/>
      <c r="AJ378" s="59"/>
      <c r="AK378" s="30"/>
      <c r="AL378"/>
      <c r="AM378"/>
      <c r="AN378"/>
      <c r="AO378"/>
      <c r="AP378"/>
      <c r="AQ378"/>
      <c r="AR378"/>
      <c r="AS378"/>
      <c r="AT378"/>
      <c r="AU378"/>
      <c r="AV378"/>
      <c r="AW378"/>
      <c r="AX378"/>
      <c r="AY378"/>
      <c r="AZ378"/>
      <c r="BA378"/>
      <c r="BB378"/>
      <c r="BC378"/>
      <c r="BD378"/>
      <c r="BE378"/>
      <c r="BF378"/>
      <c r="BG378"/>
      <c r="BH378"/>
      <c r="BI378"/>
      <c r="BJ378"/>
      <c r="BK378"/>
      <c r="BL378"/>
      <c r="BM378"/>
      <c r="BN378"/>
      <c r="BO378"/>
      <c r="BP378"/>
      <c r="BQ378"/>
      <c r="BR378"/>
      <c r="BS378"/>
      <c r="BT378"/>
      <c r="BU378"/>
      <c r="BV378"/>
      <c r="BW378"/>
      <c r="BX378"/>
      <c r="BY378"/>
      <c r="BZ378"/>
      <c r="CA378"/>
      <c r="CB378"/>
      <c r="CC378"/>
      <c r="CD378"/>
      <c r="CE378"/>
      <c r="CF378"/>
      <c r="CG378"/>
    </row>
    <row r="379" spans="1:85" ht="15">
      <c r="A379" s="30"/>
      <c r="B379" s="30"/>
      <c r="C379" s="30"/>
      <c r="D379" s="30"/>
      <c r="E379" s="30"/>
      <c r="F379" s="30"/>
      <c r="G379" s="30"/>
      <c r="H379" s="30"/>
      <c r="I379" s="30"/>
      <c r="J379" s="30"/>
      <c r="K379" s="30"/>
      <c r="L379" s="30"/>
      <c r="M379" s="30"/>
      <c r="N379" s="30"/>
      <c r="O379" s="30"/>
      <c r="P379" s="30"/>
      <c r="Q379" s="30"/>
      <c r="R379" s="47"/>
      <c r="S379" s="47"/>
      <c r="T379" s="47"/>
      <c r="U379" s="47"/>
      <c r="V379" s="47"/>
      <c r="W379" s="47"/>
      <c r="X379" s="47"/>
      <c r="Y379" s="47"/>
      <c r="Z379" s="47"/>
      <c r="AA379" s="47"/>
      <c r="AE379" s="30"/>
      <c r="AF379" s="30"/>
      <c r="AG379" s="30"/>
      <c r="AH379" s="30"/>
      <c r="AI379" s="30"/>
      <c r="AJ379" s="59"/>
      <c r="AK379" s="30"/>
      <c r="AL379"/>
      <c r="AM379"/>
      <c r="AN379"/>
      <c r="AO379"/>
      <c r="AP379"/>
      <c r="AQ379"/>
      <c r="AR379"/>
      <c r="AS379"/>
      <c r="AT379"/>
      <c r="AU379"/>
      <c r="AV379"/>
      <c r="AW379"/>
      <c r="AX379"/>
      <c r="AY379"/>
      <c r="AZ379"/>
      <c r="BA379"/>
      <c r="BB379"/>
      <c r="BC379"/>
      <c r="BD379"/>
      <c r="BE379"/>
      <c r="BF379"/>
      <c r="BG379"/>
      <c r="BH379"/>
      <c r="BI379"/>
      <c r="BJ379"/>
      <c r="BK379"/>
      <c r="BL379"/>
      <c r="BM379"/>
      <c r="BN379"/>
      <c r="BO379"/>
      <c r="BP379"/>
      <c r="BQ379"/>
      <c r="BR379"/>
      <c r="BS379"/>
      <c r="BT379"/>
      <c r="BU379"/>
      <c r="BV379"/>
      <c r="BW379"/>
      <c r="BX379"/>
      <c r="BY379"/>
      <c r="BZ379"/>
      <c r="CA379"/>
      <c r="CB379"/>
      <c r="CC379"/>
      <c r="CD379"/>
      <c r="CE379"/>
      <c r="CF379"/>
      <c r="CG379"/>
    </row>
    <row r="380" spans="1:85" ht="15">
      <c r="A380" s="30"/>
      <c r="B380" s="30"/>
      <c r="C380" s="30"/>
      <c r="D380" s="30"/>
      <c r="E380" s="30"/>
      <c r="F380" s="30"/>
      <c r="G380" s="30"/>
      <c r="H380" s="30"/>
      <c r="I380" s="30"/>
      <c r="J380" s="30"/>
      <c r="K380" s="30"/>
      <c r="L380" s="30"/>
      <c r="M380" s="30"/>
      <c r="N380" s="30"/>
      <c r="O380" s="30"/>
      <c r="P380" s="30"/>
      <c r="Q380" s="30"/>
      <c r="R380" s="47"/>
      <c r="S380" s="47"/>
      <c r="T380" s="47"/>
      <c r="U380" s="47"/>
      <c r="V380" s="47"/>
      <c r="W380" s="47"/>
      <c r="X380" s="47"/>
      <c r="Y380" s="47"/>
      <c r="Z380" s="47"/>
      <c r="AA380" s="47"/>
      <c r="AE380" s="30"/>
      <c r="AF380" s="30"/>
      <c r="AG380" s="30"/>
      <c r="AH380" s="30"/>
      <c r="AI380" s="30"/>
      <c r="AJ380" s="59"/>
      <c r="AK380" s="30"/>
      <c r="AL380"/>
      <c r="AM380"/>
      <c r="AN380"/>
      <c r="AO380"/>
      <c r="AP380"/>
      <c r="AQ380"/>
      <c r="AR380"/>
      <c r="AS380"/>
      <c r="AT380"/>
      <c r="AU380"/>
      <c r="AV380"/>
      <c r="AW380"/>
      <c r="AX380"/>
      <c r="AY380"/>
      <c r="AZ380"/>
      <c r="BA380"/>
      <c r="BB380"/>
      <c r="BC380"/>
      <c r="BD380"/>
      <c r="BE380"/>
      <c r="BF380"/>
      <c r="BG380"/>
      <c r="BH380"/>
      <c r="BI380"/>
      <c r="BJ380"/>
      <c r="BK380"/>
      <c r="BL380"/>
      <c r="BM380"/>
      <c r="BN380"/>
      <c r="BO380"/>
      <c r="BP380"/>
      <c r="BQ380"/>
      <c r="BR380"/>
      <c r="BS380"/>
      <c r="BT380"/>
      <c r="BU380"/>
      <c r="BV380"/>
      <c r="BW380"/>
      <c r="BX380"/>
      <c r="BY380"/>
      <c r="BZ380"/>
      <c r="CA380"/>
      <c r="CB380"/>
      <c r="CC380"/>
      <c r="CD380"/>
      <c r="CE380"/>
      <c r="CF380"/>
      <c r="CG380"/>
    </row>
    <row r="381" spans="1:85" ht="15">
      <c r="A381" s="30"/>
      <c r="B381" s="30"/>
      <c r="C381" s="30"/>
      <c r="D381" s="30"/>
      <c r="E381" s="30"/>
      <c r="F381" s="30"/>
      <c r="G381" s="30"/>
      <c r="H381" s="30"/>
      <c r="I381" s="30"/>
      <c r="J381" s="30"/>
      <c r="K381" s="30"/>
      <c r="L381" s="30"/>
      <c r="M381" s="30"/>
      <c r="N381" s="30"/>
      <c r="O381" s="30"/>
      <c r="P381" s="30"/>
      <c r="Q381" s="30"/>
      <c r="R381" s="47"/>
      <c r="S381" s="47"/>
      <c r="T381" s="47"/>
      <c r="U381" s="47"/>
      <c r="V381" s="47"/>
      <c r="W381" s="47"/>
      <c r="X381" s="47"/>
      <c r="Y381" s="47"/>
      <c r="Z381" s="47"/>
      <c r="AA381" s="47"/>
      <c r="AE381" s="30"/>
      <c r="AF381" s="30"/>
      <c r="AG381" s="30"/>
      <c r="AH381" s="30"/>
      <c r="AI381" s="30"/>
      <c r="AJ381" s="59"/>
      <c r="AK381" s="30"/>
      <c r="AL381"/>
      <c r="AM381"/>
      <c r="AN381"/>
      <c r="AO381"/>
      <c r="AP381"/>
      <c r="AQ381"/>
      <c r="AR381"/>
      <c r="AS381"/>
      <c r="AT381"/>
      <c r="AU381"/>
      <c r="AV381"/>
      <c r="AW381"/>
      <c r="AX381"/>
      <c r="AY381"/>
      <c r="AZ381"/>
      <c r="BA381"/>
      <c r="BB381"/>
      <c r="BC381"/>
      <c r="BD381"/>
      <c r="BE381"/>
      <c r="BF381"/>
      <c r="BG381"/>
      <c r="BH381"/>
      <c r="BI381"/>
      <c r="BJ381"/>
      <c r="BK381"/>
      <c r="BL381"/>
      <c r="BM381"/>
      <c r="BN381"/>
      <c r="BO381"/>
      <c r="BP381"/>
      <c r="BQ381"/>
      <c r="BR381"/>
      <c r="BS381"/>
      <c r="BT381"/>
      <c r="BU381"/>
      <c r="BV381"/>
      <c r="BW381"/>
      <c r="BX381"/>
      <c r="BY381"/>
      <c r="BZ381"/>
      <c r="CA381"/>
      <c r="CB381"/>
      <c r="CC381"/>
      <c r="CD381"/>
      <c r="CE381"/>
      <c r="CF381"/>
      <c r="CG381"/>
    </row>
    <row r="382" spans="1:85" ht="15">
      <c r="A382" s="30"/>
      <c r="B382" s="30"/>
      <c r="C382" s="30"/>
      <c r="D382" s="30"/>
      <c r="E382" s="30"/>
      <c r="F382" s="30"/>
      <c r="G382" s="30"/>
      <c r="H382" s="30"/>
      <c r="I382" s="30"/>
      <c r="J382" s="30"/>
      <c r="K382" s="30"/>
      <c r="L382" s="30"/>
      <c r="M382" s="30"/>
      <c r="N382" s="30"/>
      <c r="O382" s="30"/>
      <c r="P382" s="30"/>
      <c r="Q382" s="30"/>
      <c r="R382" s="47"/>
      <c r="S382" s="47"/>
      <c r="T382" s="47"/>
      <c r="U382" s="47"/>
      <c r="V382" s="47"/>
      <c r="W382" s="47"/>
      <c r="X382" s="47"/>
      <c r="Y382" s="47"/>
      <c r="Z382" s="47"/>
      <c r="AA382" s="47"/>
      <c r="AE382" s="30"/>
      <c r="AF382" s="30"/>
      <c r="AG382" s="30"/>
      <c r="AH382" s="30"/>
      <c r="AI382" s="30"/>
      <c r="AJ382" s="59"/>
      <c r="AK382" s="30"/>
      <c r="AL382"/>
      <c r="AM382"/>
      <c r="AN382"/>
      <c r="AO382"/>
      <c r="AP382"/>
      <c r="AQ382"/>
      <c r="AR382"/>
      <c r="AS382"/>
      <c r="AT382"/>
      <c r="AU382"/>
      <c r="AV382"/>
      <c r="AW382"/>
      <c r="AX382"/>
      <c r="AY382"/>
      <c r="AZ382"/>
      <c r="BA382"/>
      <c r="BB382"/>
      <c r="BC382"/>
      <c r="BD382"/>
      <c r="BE382"/>
      <c r="BF382"/>
      <c r="BG382"/>
      <c r="BH382"/>
      <c r="BI382"/>
      <c r="BJ382"/>
      <c r="BK382"/>
      <c r="BL382"/>
      <c r="BM382"/>
      <c r="BN382"/>
      <c r="BO382"/>
      <c r="BP382"/>
      <c r="BQ382"/>
      <c r="BR382"/>
      <c r="BS382"/>
      <c r="BT382"/>
      <c r="BU382"/>
      <c r="BV382"/>
      <c r="BW382"/>
      <c r="BX382"/>
      <c r="BY382"/>
      <c r="BZ382"/>
      <c r="CA382"/>
      <c r="CB382"/>
      <c r="CC382"/>
      <c r="CD382"/>
      <c r="CE382"/>
      <c r="CF382"/>
      <c r="CG382"/>
    </row>
    <row r="383" spans="1:85" ht="15">
      <c r="A383" s="30"/>
      <c r="B383" s="30"/>
      <c r="C383" s="30"/>
      <c r="D383" s="30"/>
      <c r="E383" s="30"/>
      <c r="F383" s="30"/>
      <c r="G383" s="30"/>
      <c r="H383" s="30"/>
      <c r="I383" s="30"/>
      <c r="J383" s="30"/>
      <c r="K383" s="30"/>
      <c r="L383" s="30"/>
      <c r="M383" s="30"/>
      <c r="N383" s="30"/>
      <c r="O383" s="30"/>
      <c r="P383" s="30"/>
      <c r="Q383" s="30"/>
      <c r="R383" s="47"/>
      <c r="S383" s="47"/>
      <c r="T383" s="47"/>
      <c r="U383" s="47"/>
      <c r="V383" s="47"/>
      <c r="W383" s="47"/>
      <c r="X383" s="47"/>
      <c r="Y383" s="47"/>
      <c r="Z383" s="47"/>
      <c r="AA383" s="47"/>
      <c r="AE383" s="30"/>
      <c r="AF383" s="30"/>
      <c r="AG383" s="30"/>
      <c r="AH383" s="30"/>
      <c r="AI383" s="30"/>
      <c r="AJ383" s="59"/>
      <c r="AK383" s="30"/>
      <c r="AL383"/>
      <c r="AM383"/>
      <c r="AN383"/>
      <c r="AO383"/>
      <c r="AP383"/>
      <c r="AQ383"/>
      <c r="AR383"/>
      <c r="AS383"/>
      <c r="AT383"/>
      <c r="AU383"/>
      <c r="AV383"/>
      <c r="AW383"/>
      <c r="AX383"/>
      <c r="AY383"/>
      <c r="AZ383"/>
      <c r="BA383"/>
      <c r="BB383"/>
      <c r="BC383"/>
      <c r="BD383"/>
      <c r="BE383"/>
      <c r="BF383"/>
      <c r="BG383"/>
      <c r="BH383"/>
      <c r="BI383"/>
      <c r="BJ383"/>
      <c r="BK383"/>
      <c r="BL383"/>
      <c r="BM383"/>
      <c r="BN383"/>
      <c r="BO383"/>
      <c r="BP383"/>
      <c r="BQ383"/>
      <c r="BR383"/>
      <c r="BS383"/>
      <c r="BT383"/>
      <c r="BU383"/>
      <c r="BV383"/>
      <c r="BW383"/>
      <c r="BX383"/>
      <c r="BY383"/>
      <c r="BZ383"/>
      <c r="CA383"/>
      <c r="CB383"/>
      <c r="CC383"/>
      <c r="CD383"/>
      <c r="CE383"/>
      <c r="CF383"/>
      <c r="CG383"/>
    </row>
    <row r="384" spans="1:85" ht="15">
      <c r="A384" s="30"/>
      <c r="B384" s="30"/>
      <c r="C384" s="30"/>
      <c r="D384" s="30"/>
      <c r="E384" s="30"/>
      <c r="F384" s="30"/>
      <c r="G384" s="30"/>
      <c r="H384" s="30"/>
      <c r="I384" s="30"/>
      <c r="J384" s="30"/>
      <c r="K384" s="30"/>
      <c r="L384" s="30"/>
      <c r="M384" s="30"/>
      <c r="N384" s="30"/>
      <c r="O384" s="30"/>
      <c r="P384" s="30"/>
      <c r="Q384" s="30"/>
      <c r="R384" s="47"/>
      <c r="S384" s="47"/>
      <c r="T384" s="47"/>
      <c r="U384" s="47"/>
      <c r="V384" s="47"/>
      <c r="W384" s="47"/>
      <c r="X384" s="47"/>
      <c r="Y384" s="47"/>
      <c r="Z384" s="47"/>
      <c r="AA384" s="47"/>
      <c r="AE384" s="30"/>
      <c r="AF384" s="30"/>
      <c r="AG384" s="30"/>
      <c r="AH384" s="30"/>
      <c r="AI384" s="30"/>
      <c r="AJ384" s="59"/>
      <c r="AK384" s="30"/>
      <c r="AL384"/>
      <c r="AM384"/>
      <c r="AN384"/>
      <c r="AO384"/>
      <c r="AP384"/>
      <c r="AQ384"/>
      <c r="AR384"/>
      <c r="AS384"/>
      <c r="AT384"/>
      <c r="AU384"/>
      <c r="AV384"/>
      <c r="AW384"/>
      <c r="AX384"/>
      <c r="AY384"/>
      <c r="AZ384"/>
      <c r="BA384"/>
      <c r="BB384"/>
      <c r="BC384"/>
      <c r="BD384"/>
      <c r="BE384"/>
      <c r="BF384"/>
      <c r="BG384"/>
      <c r="BH384"/>
      <c r="BI384"/>
      <c r="BJ384"/>
      <c r="BK384"/>
      <c r="BL384"/>
      <c r="BM384"/>
      <c r="BN384"/>
      <c r="BO384"/>
      <c r="BP384"/>
      <c r="BQ384"/>
      <c r="BR384"/>
      <c r="BS384"/>
      <c r="BT384"/>
      <c r="BU384"/>
      <c r="BV384"/>
      <c r="BW384"/>
      <c r="BX384"/>
      <c r="BY384"/>
      <c r="BZ384"/>
      <c r="CA384"/>
      <c r="CB384"/>
      <c r="CC384"/>
      <c r="CD384"/>
      <c r="CE384"/>
      <c r="CF384"/>
      <c r="CG384"/>
    </row>
    <row r="385" spans="1:85" ht="15">
      <c r="A385" s="30"/>
      <c r="B385" s="30"/>
      <c r="C385" s="30"/>
      <c r="D385" s="30"/>
      <c r="E385" s="30"/>
      <c r="F385" s="30"/>
      <c r="G385" s="30"/>
      <c r="H385" s="30"/>
      <c r="I385" s="30"/>
      <c r="J385" s="30"/>
      <c r="K385" s="30"/>
      <c r="L385" s="30"/>
      <c r="M385" s="30"/>
      <c r="N385" s="30"/>
      <c r="O385" s="30"/>
      <c r="P385" s="30"/>
      <c r="Q385" s="30"/>
      <c r="R385" s="47"/>
      <c r="S385" s="47"/>
      <c r="T385" s="47"/>
      <c r="U385" s="47"/>
      <c r="V385" s="47"/>
      <c r="W385" s="47"/>
      <c r="X385" s="47"/>
      <c r="Y385" s="47"/>
      <c r="Z385" s="47"/>
      <c r="AA385" s="47"/>
      <c r="AE385" s="30"/>
      <c r="AF385" s="30"/>
      <c r="AG385" s="30"/>
      <c r="AH385" s="30"/>
      <c r="AI385" s="30"/>
      <c r="AJ385" s="59"/>
      <c r="AK385" s="30"/>
      <c r="AL385"/>
      <c r="AM385"/>
      <c r="AN385"/>
      <c r="AO385"/>
      <c r="AP385"/>
      <c r="AQ385"/>
      <c r="AR385"/>
      <c r="AS385"/>
      <c r="AT385"/>
      <c r="AU385"/>
      <c r="AV385"/>
      <c r="AW385"/>
      <c r="AX385"/>
      <c r="AY385"/>
      <c r="AZ385"/>
      <c r="BA385"/>
      <c r="BB385"/>
      <c r="BC385"/>
      <c r="BD385"/>
      <c r="BE385"/>
      <c r="BF385"/>
      <c r="BG385"/>
      <c r="BH385"/>
      <c r="BI385"/>
      <c r="BJ385"/>
      <c r="BK385"/>
      <c r="BL385"/>
      <c r="BM385"/>
      <c r="BN385"/>
      <c r="BO385"/>
      <c r="BP385"/>
      <c r="BQ385"/>
      <c r="BR385"/>
      <c r="BS385"/>
      <c r="BT385"/>
      <c r="BU385"/>
      <c r="BV385"/>
      <c r="BW385"/>
      <c r="BX385"/>
      <c r="BY385"/>
      <c r="BZ385"/>
      <c r="CA385"/>
      <c r="CB385"/>
      <c r="CC385"/>
      <c r="CD385"/>
      <c r="CE385"/>
      <c r="CF385"/>
      <c r="CG385"/>
    </row>
    <row r="386" spans="1:85" ht="15">
      <c r="A386" s="30"/>
      <c r="B386" s="30"/>
      <c r="C386" s="30"/>
      <c r="D386" s="30"/>
      <c r="E386" s="30"/>
      <c r="F386" s="30"/>
      <c r="G386" s="30"/>
      <c r="H386" s="30"/>
      <c r="I386" s="30"/>
      <c r="J386" s="30"/>
      <c r="K386" s="30"/>
      <c r="L386" s="30"/>
      <c r="M386" s="30"/>
      <c r="N386" s="30"/>
      <c r="O386" s="30"/>
      <c r="P386" s="30"/>
      <c r="Q386" s="30"/>
      <c r="R386" s="47"/>
      <c r="S386" s="47"/>
      <c r="T386" s="47"/>
      <c r="U386" s="47"/>
      <c r="V386" s="47"/>
      <c r="W386" s="47"/>
      <c r="X386" s="47"/>
      <c r="Y386" s="47"/>
      <c r="Z386" s="47"/>
      <c r="AA386" s="47"/>
      <c r="AE386" s="30"/>
      <c r="AF386" s="30"/>
      <c r="AG386" s="30"/>
      <c r="AH386" s="30"/>
      <c r="AI386" s="30"/>
      <c r="AJ386" s="59"/>
      <c r="AK386" s="30"/>
      <c r="AL386"/>
      <c r="AM386"/>
      <c r="AN386"/>
      <c r="AO386"/>
      <c r="AP386"/>
      <c r="AQ386"/>
      <c r="AR386"/>
      <c r="AS386"/>
      <c r="AT386"/>
      <c r="AU386"/>
      <c r="AV386"/>
      <c r="AW386"/>
      <c r="AX386"/>
      <c r="AY386"/>
      <c r="AZ386"/>
      <c r="BA386"/>
      <c r="BB386"/>
      <c r="BC386"/>
      <c r="BD386"/>
      <c r="BE386"/>
      <c r="BF386"/>
      <c r="BG386"/>
      <c r="BH386"/>
      <c r="BI386"/>
      <c r="BJ386"/>
      <c r="BK386"/>
      <c r="BL386"/>
      <c r="BM386"/>
      <c r="BN386"/>
      <c r="BO386"/>
      <c r="BP386"/>
      <c r="BQ386"/>
      <c r="BR386"/>
      <c r="BS386"/>
      <c r="BT386"/>
      <c r="BU386"/>
      <c r="BV386"/>
      <c r="BW386"/>
      <c r="BX386"/>
      <c r="BY386"/>
      <c r="BZ386"/>
      <c r="CA386"/>
      <c r="CB386"/>
      <c r="CC386"/>
      <c r="CD386"/>
      <c r="CE386"/>
      <c r="CF386"/>
      <c r="CG386"/>
    </row>
    <row r="387" spans="1:85" ht="15">
      <c r="A387" s="30"/>
      <c r="B387" s="30"/>
      <c r="C387" s="30"/>
      <c r="D387" s="30"/>
      <c r="E387" s="30"/>
      <c r="F387" s="30"/>
      <c r="G387" s="30"/>
      <c r="H387" s="30"/>
      <c r="I387" s="30"/>
      <c r="J387" s="30"/>
      <c r="K387" s="30"/>
      <c r="L387" s="30"/>
      <c r="M387" s="30"/>
      <c r="N387" s="30"/>
      <c r="O387" s="30"/>
      <c r="P387" s="30"/>
      <c r="Q387" s="30"/>
      <c r="R387" s="47"/>
      <c r="S387" s="47"/>
      <c r="T387" s="47"/>
      <c r="U387" s="47"/>
      <c r="V387" s="47"/>
      <c r="W387" s="47"/>
      <c r="X387" s="47"/>
      <c r="Y387" s="47"/>
      <c r="Z387" s="47"/>
      <c r="AA387" s="47"/>
      <c r="AE387" s="30"/>
      <c r="AF387" s="30"/>
      <c r="AG387" s="30"/>
      <c r="AH387" s="30"/>
      <c r="AI387" s="30"/>
      <c r="AJ387" s="59"/>
      <c r="AK387" s="30"/>
      <c r="AL387"/>
      <c r="AM387"/>
      <c r="AN387"/>
      <c r="AO387"/>
      <c r="AP387"/>
      <c r="AQ387"/>
      <c r="AR387"/>
      <c r="AS387"/>
      <c r="AT387"/>
      <c r="AU387"/>
      <c r="AV387"/>
      <c r="AW387"/>
      <c r="AX387"/>
      <c r="AY387"/>
      <c r="AZ387"/>
      <c r="BA387"/>
      <c r="BB387"/>
      <c r="BC387"/>
      <c r="BD387"/>
      <c r="BE387"/>
      <c r="BF387"/>
      <c r="BG387"/>
      <c r="BH387"/>
      <c r="BI387"/>
      <c r="BJ387"/>
      <c r="BK387"/>
      <c r="BL387"/>
      <c r="BM387"/>
      <c r="BN387"/>
      <c r="BO387"/>
      <c r="BP387"/>
      <c r="BQ387"/>
      <c r="BR387"/>
      <c r="BS387"/>
      <c r="BT387"/>
      <c r="BU387"/>
      <c r="BV387"/>
      <c r="BW387"/>
      <c r="BX387"/>
      <c r="BY387"/>
      <c r="BZ387"/>
      <c r="CA387"/>
      <c r="CB387"/>
      <c r="CC387"/>
      <c r="CD387"/>
      <c r="CE387"/>
      <c r="CF387"/>
      <c r="CG387"/>
    </row>
    <row r="388" spans="1:85" ht="15">
      <c r="A388" s="30"/>
      <c r="B388" s="30"/>
      <c r="C388" s="30"/>
      <c r="D388" s="30"/>
      <c r="E388" s="30"/>
      <c r="F388" s="30"/>
      <c r="G388" s="30"/>
      <c r="H388" s="30"/>
      <c r="I388" s="30"/>
      <c r="J388" s="30"/>
      <c r="K388" s="30"/>
      <c r="L388" s="30"/>
      <c r="M388" s="30"/>
      <c r="N388" s="30"/>
      <c r="O388" s="30"/>
      <c r="P388" s="30"/>
      <c r="Q388" s="30"/>
      <c r="R388" s="47"/>
      <c r="S388" s="47"/>
      <c r="T388" s="47"/>
      <c r="U388" s="47"/>
      <c r="V388" s="47"/>
      <c r="W388" s="47"/>
      <c r="X388" s="47"/>
      <c r="Y388" s="47"/>
      <c r="Z388" s="47"/>
      <c r="AA388" s="47"/>
      <c r="AE388" s="30"/>
      <c r="AF388" s="30"/>
      <c r="AG388" s="30"/>
      <c r="AH388" s="30"/>
      <c r="AI388" s="30"/>
      <c r="AJ388" s="59"/>
      <c r="AK388" s="30"/>
      <c r="AL388"/>
      <c r="AM388"/>
      <c r="AN388"/>
      <c r="AO388"/>
      <c r="AP388"/>
      <c r="AQ388"/>
      <c r="AR388"/>
      <c r="AS388"/>
      <c r="AT388"/>
      <c r="AU388"/>
      <c r="AV388"/>
      <c r="AW388"/>
      <c r="AX388"/>
      <c r="AY388"/>
      <c r="AZ388"/>
      <c r="BA388"/>
      <c r="BB388"/>
      <c r="BC388"/>
      <c r="BD388"/>
      <c r="BE388"/>
      <c r="BF388"/>
      <c r="BG388"/>
      <c r="BH388"/>
      <c r="BI388"/>
      <c r="BJ388"/>
      <c r="BK388"/>
      <c r="BL388"/>
      <c r="BM388"/>
      <c r="BN388"/>
      <c r="BO388"/>
      <c r="BP388"/>
      <c r="BQ388"/>
      <c r="BR388"/>
      <c r="BS388"/>
      <c r="BT388"/>
      <c r="BU388"/>
      <c r="BV388"/>
      <c r="BW388"/>
      <c r="BX388"/>
      <c r="BY388"/>
      <c r="BZ388"/>
      <c r="CA388"/>
      <c r="CB388"/>
      <c r="CC388"/>
      <c r="CD388"/>
      <c r="CE388"/>
      <c r="CF388"/>
      <c r="CG388"/>
    </row>
    <row r="389" spans="1:85" ht="15">
      <c r="A389" s="30"/>
      <c r="B389" s="30"/>
      <c r="C389" s="30"/>
      <c r="D389" s="30"/>
      <c r="E389" s="30"/>
      <c r="F389" s="30"/>
      <c r="G389" s="30"/>
      <c r="H389" s="30"/>
      <c r="I389" s="30"/>
      <c r="J389" s="30"/>
      <c r="K389" s="30"/>
      <c r="L389" s="30"/>
      <c r="M389" s="30"/>
      <c r="N389" s="30"/>
      <c r="O389" s="30"/>
      <c r="P389" s="30"/>
      <c r="Q389" s="30"/>
      <c r="R389" s="47"/>
      <c r="S389" s="47"/>
      <c r="T389" s="47"/>
      <c r="U389" s="47"/>
      <c r="V389" s="47"/>
      <c r="W389" s="47"/>
      <c r="X389" s="47"/>
      <c r="Y389" s="47"/>
      <c r="Z389" s="47"/>
      <c r="AA389" s="47"/>
      <c r="AE389" s="30"/>
      <c r="AF389" s="30"/>
      <c r="AG389" s="30"/>
      <c r="AH389" s="30"/>
      <c r="AI389" s="30"/>
      <c r="AJ389" s="59"/>
      <c r="AK389" s="30"/>
      <c r="AL389"/>
      <c r="AM389"/>
      <c r="AN389"/>
      <c r="AO389"/>
      <c r="AP389"/>
      <c r="AQ389"/>
      <c r="AR389"/>
      <c r="AS389"/>
      <c r="AT389"/>
      <c r="AU389"/>
      <c r="AV389"/>
      <c r="AW389"/>
      <c r="AX389"/>
      <c r="AY389"/>
      <c r="AZ389"/>
      <c r="BA389"/>
      <c r="BB389"/>
      <c r="BC389"/>
      <c r="BD389"/>
      <c r="BE389"/>
      <c r="BF389"/>
      <c r="BG389"/>
      <c r="BH389"/>
      <c r="BI389"/>
      <c r="BJ389"/>
      <c r="BK389"/>
      <c r="BL389"/>
      <c r="BM389"/>
      <c r="BN389"/>
      <c r="BO389"/>
      <c r="BP389"/>
      <c r="BQ389"/>
      <c r="BR389"/>
      <c r="BS389"/>
      <c r="BT389"/>
      <c r="BU389"/>
      <c r="BV389"/>
      <c r="BW389"/>
      <c r="BX389"/>
      <c r="BY389"/>
      <c r="BZ389"/>
      <c r="CA389"/>
      <c r="CB389"/>
      <c r="CC389"/>
      <c r="CD389"/>
      <c r="CE389"/>
      <c r="CF389"/>
      <c r="CG389"/>
    </row>
    <row r="390" spans="1:85" ht="15">
      <c r="A390" s="30"/>
      <c r="B390" s="30"/>
      <c r="C390" s="30"/>
      <c r="D390" s="30"/>
      <c r="E390" s="30"/>
      <c r="F390" s="30"/>
      <c r="G390" s="30"/>
      <c r="H390" s="30"/>
      <c r="I390" s="30"/>
      <c r="J390" s="30"/>
      <c r="K390" s="30"/>
      <c r="L390" s="30"/>
      <c r="M390" s="30"/>
      <c r="N390" s="30"/>
      <c r="O390" s="30"/>
      <c r="P390" s="30"/>
      <c r="Q390" s="30"/>
      <c r="R390" s="47"/>
      <c r="S390" s="47"/>
      <c r="T390" s="47"/>
      <c r="U390" s="47"/>
      <c r="V390" s="47"/>
      <c r="W390" s="47"/>
      <c r="X390" s="47"/>
      <c r="Y390" s="47"/>
      <c r="Z390" s="47"/>
      <c r="AA390" s="47"/>
      <c r="AE390" s="30"/>
      <c r="AF390" s="30"/>
      <c r="AG390" s="30"/>
      <c r="AH390" s="30"/>
      <c r="AI390" s="30"/>
      <c r="AJ390" s="59"/>
      <c r="AK390" s="30"/>
      <c r="AL390"/>
      <c r="AM390"/>
      <c r="AN390"/>
      <c r="AO390"/>
      <c r="AP390"/>
      <c r="AQ390"/>
      <c r="AR390"/>
      <c r="AS390"/>
      <c r="AT390"/>
      <c r="AU390"/>
      <c r="AV390"/>
      <c r="AW390"/>
      <c r="AX390"/>
      <c r="AY390"/>
      <c r="AZ390"/>
      <c r="BA390"/>
      <c r="BB390"/>
      <c r="BC390"/>
      <c r="BD390"/>
      <c r="BE390"/>
      <c r="BF390"/>
      <c r="BG390"/>
      <c r="BH390"/>
      <c r="BI390"/>
      <c r="BJ390"/>
      <c r="BK390"/>
      <c r="BL390"/>
      <c r="BM390"/>
      <c r="BN390"/>
      <c r="BO390"/>
      <c r="BP390"/>
      <c r="BQ390"/>
      <c r="BR390"/>
      <c r="BS390"/>
      <c r="BT390"/>
      <c r="BU390"/>
      <c r="BV390"/>
      <c r="BW390"/>
      <c r="BX390"/>
      <c r="BY390"/>
      <c r="BZ390"/>
      <c r="CA390"/>
      <c r="CB390"/>
      <c r="CC390"/>
      <c r="CD390"/>
      <c r="CE390"/>
      <c r="CF390"/>
      <c r="CG390"/>
    </row>
    <row r="391" spans="1:85" ht="15">
      <c r="A391" s="30"/>
      <c r="B391" s="30"/>
      <c r="C391" s="30"/>
      <c r="D391" s="30"/>
      <c r="E391" s="30"/>
      <c r="F391" s="30"/>
      <c r="G391" s="30"/>
      <c r="H391" s="30"/>
      <c r="I391" s="30"/>
      <c r="J391" s="30"/>
      <c r="K391" s="30"/>
      <c r="L391" s="30"/>
      <c r="M391" s="30"/>
      <c r="N391" s="30"/>
      <c r="O391" s="30"/>
      <c r="P391" s="30"/>
      <c r="Q391" s="30"/>
      <c r="R391" s="47"/>
      <c r="S391" s="47"/>
      <c r="T391" s="47"/>
      <c r="U391" s="47"/>
      <c r="V391" s="47"/>
      <c r="W391" s="47"/>
      <c r="X391" s="47"/>
      <c r="Y391" s="47"/>
      <c r="Z391" s="47"/>
      <c r="AA391" s="47"/>
      <c r="AE391" s="30"/>
      <c r="AF391" s="30"/>
      <c r="AG391" s="30"/>
      <c r="AH391" s="30"/>
      <c r="AI391" s="30"/>
      <c r="AJ391" s="59"/>
      <c r="AK391" s="30"/>
      <c r="AL391"/>
      <c r="AM391"/>
      <c r="AN391"/>
      <c r="AO391"/>
      <c r="AP391"/>
      <c r="AQ391"/>
      <c r="AR391"/>
      <c r="AS391"/>
      <c r="AT391"/>
      <c r="AU391"/>
      <c r="AV391"/>
      <c r="AW391"/>
      <c r="AX391"/>
      <c r="AY391"/>
      <c r="AZ391"/>
      <c r="BA391"/>
      <c r="BB391"/>
      <c r="BC391"/>
      <c r="BD391"/>
      <c r="BE391"/>
      <c r="BF391"/>
      <c r="BG391"/>
      <c r="BH391"/>
      <c r="BI391"/>
      <c r="BJ391"/>
      <c r="BK391"/>
      <c r="BL391"/>
      <c r="BM391"/>
      <c r="BN391"/>
      <c r="BO391"/>
      <c r="BP391"/>
      <c r="BQ391"/>
      <c r="BR391"/>
      <c r="BS391"/>
      <c r="BT391"/>
      <c r="BU391"/>
      <c r="BV391"/>
      <c r="BW391"/>
      <c r="BX391"/>
      <c r="BY391"/>
      <c r="BZ391"/>
      <c r="CA391"/>
      <c r="CB391"/>
      <c r="CC391"/>
      <c r="CD391"/>
      <c r="CE391"/>
      <c r="CF391"/>
      <c r="CG391"/>
    </row>
    <row r="392" spans="1:85" ht="15">
      <c r="A392" s="30"/>
      <c r="B392" s="30"/>
      <c r="C392" s="30"/>
      <c r="D392" s="30"/>
      <c r="E392" s="30"/>
      <c r="F392" s="30"/>
      <c r="G392" s="30"/>
      <c r="H392" s="30"/>
      <c r="I392" s="30"/>
      <c r="J392" s="30"/>
      <c r="K392" s="30"/>
      <c r="L392" s="30"/>
      <c r="M392" s="30"/>
      <c r="N392" s="30"/>
      <c r="O392" s="30"/>
      <c r="P392" s="30"/>
      <c r="Q392" s="30"/>
      <c r="R392" s="47"/>
      <c r="S392" s="47"/>
      <c r="T392" s="47"/>
      <c r="U392" s="47"/>
      <c r="V392" s="47"/>
      <c r="W392" s="47"/>
      <c r="X392" s="47"/>
      <c r="Y392" s="47"/>
      <c r="Z392" s="47"/>
      <c r="AA392" s="47"/>
      <c r="AE392" s="30"/>
      <c r="AF392" s="30"/>
      <c r="AG392" s="30"/>
      <c r="AH392" s="30"/>
      <c r="AI392" s="30"/>
      <c r="AJ392" s="59"/>
      <c r="AK392" s="30"/>
      <c r="AL392"/>
      <c r="AM392"/>
      <c r="AN392"/>
      <c r="AO392"/>
      <c r="AP392"/>
      <c r="AQ392"/>
      <c r="AR392"/>
      <c r="AS392"/>
      <c r="AT392"/>
      <c r="AU392"/>
      <c r="AV392"/>
      <c r="AW392"/>
      <c r="AX392"/>
      <c r="AY392"/>
      <c r="AZ392"/>
      <c r="BA392"/>
      <c r="BB392"/>
      <c r="BC392"/>
      <c r="BD392"/>
      <c r="BE392"/>
      <c r="BF392"/>
      <c r="BG392"/>
      <c r="BH392"/>
      <c r="BI392"/>
      <c r="BJ392"/>
      <c r="BK392"/>
      <c r="BL392"/>
      <c r="BM392"/>
      <c r="BN392"/>
      <c r="BO392"/>
      <c r="BP392"/>
      <c r="BQ392"/>
      <c r="BR392"/>
      <c r="BS392"/>
      <c r="BT392"/>
      <c r="BU392"/>
      <c r="BV392"/>
      <c r="BW392"/>
      <c r="BX392"/>
      <c r="BY392"/>
      <c r="BZ392"/>
      <c r="CA392"/>
      <c r="CB392"/>
      <c r="CC392"/>
      <c r="CD392"/>
      <c r="CE392"/>
      <c r="CF392"/>
      <c r="CG392"/>
    </row>
    <row r="393" spans="1:85" ht="15">
      <c r="A393" s="30"/>
      <c r="B393" s="30"/>
      <c r="C393" s="30"/>
      <c r="D393" s="30"/>
      <c r="E393" s="30"/>
      <c r="F393" s="30"/>
      <c r="G393" s="30"/>
      <c r="H393" s="30"/>
      <c r="I393" s="30"/>
      <c r="J393" s="30"/>
      <c r="K393" s="30"/>
      <c r="L393" s="30"/>
      <c r="M393" s="30"/>
      <c r="N393" s="30"/>
      <c r="O393" s="30"/>
      <c r="P393" s="30"/>
      <c r="Q393" s="30"/>
      <c r="R393" s="47"/>
      <c r="S393" s="47"/>
      <c r="T393" s="47"/>
      <c r="U393" s="47"/>
      <c r="V393" s="47"/>
      <c r="W393" s="47"/>
      <c r="X393" s="47"/>
      <c r="Y393" s="47"/>
      <c r="Z393" s="47"/>
      <c r="AA393" s="47"/>
      <c r="AE393" s="30"/>
      <c r="AF393" s="30"/>
      <c r="AG393" s="30"/>
      <c r="AH393" s="30"/>
      <c r="AI393" s="30"/>
      <c r="AJ393" s="59"/>
      <c r="AK393" s="30"/>
      <c r="AL393"/>
      <c r="AM393"/>
      <c r="AN393"/>
      <c r="AO393"/>
      <c r="AP393"/>
      <c r="AQ393"/>
      <c r="AR393"/>
      <c r="AS393"/>
      <c r="AT393"/>
      <c r="AU393"/>
      <c r="AV393"/>
      <c r="AW393"/>
      <c r="AX393"/>
      <c r="AY393"/>
      <c r="AZ393"/>
      <c r="BA393"/>
      <c r="BB393"/>
      <c r="BC393"/>
      <c r="BD393"/>
      <c r="BE393"/>
      <c r="BF393"/>
      <c r="BG393"/>
      <c r="BH393"/>
      <c r="BI393"/>
      <c r="BJ393"/>
      <c r="BK393"/>
      <c r="BL393"/>
      <c r="BM393"/>
      <c r="BN393"/>
      <c r="BO393"/>
      <c r="BP393"/>
      <c r="BQ393"/>
      <c r="BR393"/>
      <c r="BS393"/>
      <c r="BT393"/>
      <c r="BU393"/>
      <c r="BV393"/>
      <c r="BW393"/>
      <c r="BX393"/>
      <c r="BY393"/>
      <c r="BZ393"/>
      <c r="CA393"/>
      <c r="CB393"/>
      <c r="CC393"/>
      <c r="CD393"/>
      <c r="CE393"/>
      <c r="CF393"/>
      <c r="CG393"/>
    </row>
    <row r="394" spans="1:85" ht="15">
      <c r="A394" s="29"/>
      <c r="B394" s="30"/>
      <c r="C394" s="30"/>
      <c r="D394" s="30"/>
      <c r="E394" s="30"/>
      <c r="F394" s="30"/>
      <c r="G394" s="30"/>
      <c r="H394" s="30"/>
      <c r="I394" s="30"/>
      <c r="J394" s="30"/>
      <c r="K394" s="30"/>
      <c r="L394" s="30"/>
      <c r="M394" s="30"/>
      <c r="N394" s="30"/>
      <c r="O394" s="30"/>
      <c r="P394" s="30"/>
      <c r="Q394" s="30"/>
      <c r="R394" s="47"/>
      <c r="S394" s="47"/>
      <c r="T394" s="47"/>
      <c r="U394" s="47"/>
      <c r="V394" s="47"/>
      <c r="W394" s="47"/>
      <c r="X394" s="47"/>
      <c r="Y394" s="47"/>
      <c r="Z394" s="47"/>
      <c r="AA394" s="47"/>
      <c r="AE394" s="30"/>
      <c r="AF394" s="30"/>
      <c r="AG394" s="30"/>
      <c r="AH394" s="30"/>
      <c r="AI394" s="30"/>
      <c r="AJ394" s="59"/>
      <c r="AK394" s="30"/>
      <c r="AL394"/>
      <c r="AM394"/>
      <c r="AN394"/>
      <c r="AO394"/>
      <c r="AP394"/>
      <c r="AQ394"/>
      <c r="AR394"/>
      <c r="AS394"/>
      <c r="AT394"/>
      <c r="AU394"/>
      <c r="AV394"/>
      <c r="AW394"/>
      <c r="AX394"/>
      <c r="AY394"/>
      <c r="AZ394"/>
      <c r="BA394"/>
      <c r="BB394"/>
      <c r="BC394"/>
      <c r="BD394"/>
      <c r="BE394"/>
      <c r="BF394"/>
      <c r="BG394"/>
      <c r="BH394"/>
      <c r="BI394"/>
      <c r="BJ394"/>
      <c r="BK394"/>
      <c r="BL394"/>
      <c r="BM394"/>
      <c r="BN394"/>
      <c r="BO394"/>
      <c r="BP394"/>
      <c r="BQ394"/>
      <c r="BR394"/>
      <c r="BS394"/>
      <c r="BT394"/>
      <c r="BU394"/>
      <c r="BV394"/>
      <c r="BW394"/>
      <c r="BX394"/>
      <c r="BY394"/>
      <c r="BZ394"/>
      <c r="CA394"/>
      <c r="CB394"/>
      <c r="CC394"/>
      <c r="CD394"/>
      <c r="CE394"/>
      <c r="CF394"/>
      <c r="CG394"/>
    </row>
    <row r="395" spans="1:85" ht="15">
      <c r="A395" s="29"/>
      <c r="B395" s="30"/>
      <c r="C395" s="30"/>
      <c r="D395" s="30"/>
      <c r="E395" s="30"/>
      <c r="F395" s="30"/>
      <c r="G395" s="30"/>
      <c r="H395" s="30"/>
      <c r="I395" s="30"/>
      <c r="J395" s="30"/>
      <c r="K395" s="30"/>
      <c r="L395" s="30"/>
      <c r="M395" s="30"/>
      <c r="N395" s="30"/>
      <c r="O395" s="30"/>
      <c r="P395" s="30"/>
      <c r="Q395" s="30"/>
      <c r="R395" s="47"/>
      <c r="S395" s="47"/>
      <c r="T395" s="47"/>
      <c r="U395" s="47"/>
      <c r="V395" s="47"/>
      <c r="W395" s="47"/>
      <c r="X395" s="47"/>
      <c r="Y395" s="47"/>
      <c r="Z395" s="47"/>
      <c r="AA395" s="47"/>
      <c r="AE395" s="30"/>
      <c r="AF395" s="30"/>
      <c r="AG395" s="30"/>
      <c r="AH395" s="30"/>
      <c r="AI395" s="30"/>
      <c r="AJ395" s="59"/>
      <c r="AK395" s="30"/>
      <c r="AL395"/>
      <c r="AM395"/>
      <c r="AN395"/>
      <c r="AO395"/>
      <c r="AP395"/>
      <c r="AQ395"/>
      <c r="AR395"/>
      <c r="AS395"/>
      <c r="AT395"/>
      <c r="AU395"/>
      <c r="AV395"/>
      <c r="AW395"/>
      <c r="AX395"/>
      <c r="AY395"/>
      <c r="AZ395"/>
      <c r="BA395"/>
      <c r="BB395"/>
      <c r="BC395"/>
      <c r="BD395"/>
      <c r="BE395"/>
      <c r="BF395"/>
      <c r="BG395"/>
      <c r="BH395"/>
      <c r="BI395"/>
      <c r="BJ395"/>
      <c r="BK395"/>
      <c r="BL395"/>
      <c r="BM395"/>
      <c r="BN395"/>
      <c r="BO395"/>
      <c r="BP395"/>
      <c r="BQ395"/>
      <c r="BR395"/>
      <c r="BS395"/>
      <c r="BT395"/>
      <c r="BU395"/>
      <c r="BV395"/>
      <c r="BW395"/>
      <c r="BX395"/>
      <c r="BY395"/>
      <c r="BZ395"/>
      <c r="CA395"/>
      <c r="CB395"/>
      <c r="CC395"/>
      <c r="CD395"/>
      <c r="CE395"/>
      <c r="CF395"/>
      <c r="CG395"/>
    </row>
    <row r="396" spans="2:85" ht="15">
      <c r="B396" s="30"/>
      <c r="C396" s="30"/>
      <c r="D396" s="30"/>
      <c r="E396" s="30"/>
      <c r="F396" s="30"/>
      <c r="G396" s="30"/>
      <c r="H396" s="30"/>
      <c r="I396" s="30"/>
      <c r="J396" s="30"/>
      <c r="K396" s="30"/>
      <c r="L396" s="30"/>
      <c r="M396" s="30"/>
      <c r="N396" s="30"/>
      <c r="O396" s="30"/>
      <c r="P396" s="30"/>
      <c r="Q396" s="30"/>
      <c r="R396" s="47"/>
      <c r="S396" s="47"/>
      <c r="T396" s="47"/>
      <c r="U396" s="47"/>
      <c r="V396" s="47"/>
      <c r="W396" s="47"/>
      <c r="X396" s="47"/>
      <c r="Y396" s="47"/>
      <c r="Z396" s="47"/>
      <c r="AA396" s="47"/>
      <c r="AE396" s="30"/>
      <c r="AF396" s="30"/>
      <c r="AG396" s="30"/>
      <c r="AH396" s="30"/>
      <c r="AI396" s="30"/>
      <c r="AJ396" s="59"/>
      <c r="AK396" s="30"/>
      <c r="AL396"/>
      <c r="AM396"/>
      <c r="AN396"/>
      <c r="AO396"/>
      <c r="AP396"/>
      <c r="AQ396"/>
      <c r="AR396"/>
      <c r="AS396"/>
      <c r="AT396"/>
      <c r="AU396"/>
      <c r="AV396"/>
      <c r="AW396"/>
      <c r="AX396"/>
      <c r="AY396"/>
      <c r="AZ396"/>
      <c r="BA396"/>
      <c r="BB396"/>
      <c r="BC396"/>
      <c r="BD396"/>
      <c r="BE396"/>
      <c r="BF396"/>
      <c r="BG396"/>
      <c r="BH396"/>
      <c r="BI396"/>
      <c r="BJ396"/>
      <c r="BK396"/>
      <c r="BL396"/>
      <c r="BM396"/>
      <c r="BN396"/>
      <c r="BO396"/>
      <c r="BP396"/>
      <c r="BQ396"/>
      <c r="BR396"/>
      <c r="BS396"/>
      <c r="BT396"/>
      <c r="BU396"/>
      <c r="BV396"/>
      <c r="BW396"/>
      <c r="BX396"/>
      <c r="BY396"/>
      <c r="BZ396"/>
      <c r="CA396"/>
      <c r="CB396"/>
      <c r="CC396"/>
      <c r="CD396"/>
      <c r="CE396"/>
      <c r="CF396"/>
      <c r="CG396"/>
    </row>
    <row r="397" spans="2:85" ht="15">
      <c r="B397" s="30"/>
      <c r="C397" s="30"/>
      <c r="D397" s="30"/>
      <c r="E397" s="30"/>
      <c r="F397" s="30"/>
      <c r="G397" s="30"/>
      <c r="H397" s="30"/>
      <c r="I397" s="30"/>
      <c r="J397" s="30"/>
      <c r="K397" s="30"/>
      <c r="L397" s="30"/>
      <c r="M397" s="30"/>
      <c r="N397" s="30"/>
      <c r="O397" s="30"/>
      <c r="P397" s="30"/>
      <c r="Q397" s="30"/>
      <c r="R397" s="47"/>
      <c r="S397" s="47"/>
      <c r="T397" s="47"/>
      <c r="U397" s="47"/>
      <c r="V397" s="47"/>
      <c r="W397" s="47"/>
      <c r="X397" s="47"/>
      <c r="Y397" s="47"/>
      <c r="Z397" s="47"/>
      <c r="AA397" s="47"/>
      <c r="AE397" s="30"/>
      <c r="AF397" s="30"/>
      <c r="AG397" s="30"/>
      <c r="AH397" s="30"/>
      <c r="AI397" s="30"/>
      <c r="AJ397" s="59"/>
      <c r="AK397" s="30"/>
      <c r="AL397"/>
      <c r="AM397"/>
      <c r="AN397"/>
      <c r="AO397"/>
      <c r="AP397"/>
      <c r="AQ397"/>
      <c r="AR397"/>
      <c r="AS397"/>
      <c r="AT397"/>
      <c r="AU397"/>
      <c r="AV397"/>
      <c r="AW397"/>
      <c r="AX397"/>
      <c r="AY397"/>
      <c r="AZ397"/>
      <c r="BA397"/>
      <c r="BB397"/>
      <c r="BC397"/>
      <c r="BD397"/>
      <c r="BE397"/>
      <c r="BF397"/>
      <c r="BG397"/>
      <c r="BH397"/>
      <c r="BI397"/>
      <c r="BJ397"/>
      <c r="BK397"/>
      <c r="BL397"/>
      <c r="BM397"/>
      <c r="BN397"/>
      <c r="BO397"/>
      <c r="BP397"/>
      <c r="BQ397"/>
      <c r="BR397"/>
      <c r="BS397"/>
      <c r="BT397"/>
      <c r="BU397"/>
      <c r="BV397"/>
      <c r="BW397"/>
      <c r="BX397"/>
      <c r="BY397"/>
      <c r="BZ397"/>
      <c r="CA397"/>
      <c r="CB397"/>
      <c r="CC397"/>
      <c r="CD397"/>
      <c r="CE397"/>
      <c r="CF397"/>
      <c r="CG397"/>
    </row>
    <row r="398" spans="2:85" ht="15">
      <c r="B398" s="30"/>
      <c r="C398" s="30"/>
      <c r="D398" s="30"/>
      <c r="E398" s="30"/>
      <c r="F398" s="30"/>
      <c r="G398" s="30"/>
      <c r="H398" s="30"/>
      <c r="I398" s="30"/>
      <c r="J398" s="30"/>
      <c r="K398" s="30"/>
      <c r="L398" s="30"/>
      <c r="M398" s="30"/>
      <c r="N398" s="30"/>
      <c r="O398" s="30"/>
      <c r="P398" s="30"/>
      <c r="Q398" s="30"/>
      <c r="R398" s="47"/>
      <c r="S398" s="47"/>
      <c r="T398" s="47"/>
      <c r="U398" s="47"/>
      <c r="V398" s="47"/>
      <c r="W398" s="47"/>
      <c r="X398" s="47"/>
      <c r="Y398" s="47"/>
      <c r="Z398" s="47"/>
      <c r="AA398" s="47"/>
      <c r="AE398" s="30"/>
      <c r="AF398" s="30"/>
      <c r="AG398" s="30"/>
      <c r="AH398" s="30"/>
      <c r="AI398" s="30"/>
      <c r="AJ398" s="59"/>
      <c r="AK398" s="30"/>
      <c r="AL398"/>
      <c r="AM398"/>
      <c r="AN398"/>
      <c r="AO398"/>
      <c r="AP398"/>
      <c r="AQ398"/>
      <c r="AR398"/>
      <c r="AS398"/>
      <c r="AT398"/>
      <c r="AU398"/>
      <c r="AV398"/>
      <c r="AW398"/>
      <c r="AX398"/>
      <c r="AY398"/>
      <c r="AZ398"/>
      <c r="BA398"/>
      <c r="BB398"/>
      <c r="BC398"/>
      <c r="BD398"/>
      <c r="BE398"/>
      <c r="BF398"/>
      <c r="BG398"/>
      <c r="BH398"/>
      <c r="BI398"/>
      <c r="BJ398"/>
      <c r="BK398"/>
      <c r="BL398"/>
      <c r="BM398"/>
      <c r="BN398"/>
      <c r="BO398"/>
      <c r="BP398"/>
      <c r="BQ398"/>
      <c r="BR398"/>
      <c r="BS398"/>
      <c r="BT398"/>
      <c r="BU398"/>
      <c r="BV398"/>
      <c r="BW398"/>
      <c r="BX398"/>
      <c r="BY398"/>
      <c r="BZ398"/>
      <c r="CA398"/>
      <c r="CB398"/>
      <c r="CC398"/>
      <c r="CD398"/>
      <c r="CE398"/>
      <c r="CF398"/>
      <c r="CG398"/>
    </row>
    <row r="399" spans="2:85" ht="15">
      <c r="B399" s="30"/>
      <c r="C399" s="30"/>
      <c r="D399" s="30"/>
      <c r="E399" s="30"/>
      <c r="F399" s="30"/>
      <c r="G399" s="30"/>
      <c r="H399" s="30"/>
      <c r="I399" s="30"/>
      <c r="J399" s="30"/>
      <c r="K399" s="30"/>
      <c r="L399" s="30"/>
      <c r="M399" s="30"/>
      <c r="N399" s="30"/>
      <c r="O399" s="30"/>
      <c r="P399" s="30"/>
      <c r="Q399" s="30"/>
      <c r="R399" s="47"/>
      <c r="S399" s="47"/>
      <c r="T399" s="47"/>
      <c r="U399" s="47"/>
      <c r="V399" s="47"/>
      <c r="W399" s="47"/>
      <c r="X399" s="47"/>
      <c r="Y399" s="47"/>
      <c r="Z399" s="47"/>
      <c r="AA399" s="47"/>
      <c r="AE399" s="30"/>
      <c r="AF399" s="30"/>
      <c r="AG399" s="30"/>
      <c r="AH399" s="30"/>
      <c r="AI399" s="30"/>
      <c r="AJ399" s="59"/>
      <c r="AK399" s="30"/>
      <c r="AL399"/>
      <c r="AM399"/>
      <c r="AN399"/>
      <c r="AO399"/>
      <c r="AP399"/>
      <c r="AQ399"/>
      <c r="AR399"/>
      <c r="AS399"/>
      <c r="AT399"/>
      <c r="AU399"/>
      <c r="AV399"/>
      <c r="AW399"/>
      <c r="AX399"/>
      <c r="AY399"/>
      <c r="AZ399"/>
      <c r="BA399"/>
      <c r="BB399"/>
      <c r="BC399"/>
      <c r="BD399"/>
      <c r="BE399"/>
      <c r="BF399"/>
      <c r="BG399"/>
      <c r="BH399"/>
      <c r="BI399"/>
      <c r="BJ399"/>
      <c r="BK399"/>
      <c r="BL399"/>
      <c r="BM399"/>
      <c r="BN399"/>
      <c r="BO399"/>
      <c r="BP399"/>
      <c r="BQ399"/>
      <c r="BR399"/>
      <c r="BS399"/>
      <c r="BT399"/>
      <c r="BU399"/>
      <c r="BV399"/>
      <c r="BW399"/>
      <c r="BX399"/>
      <c r="BY399"/>
      <c r="BZ399"/>
      <c r="CA399"/>
      <c r="CB399"/>
      <c r="CC399"/>
      <c r="CD399"/>
      <c r="CE399"/>
      <c r="CF399"/>
      <c r="CG399"/>
    </row>
    <row r="400" spans="2:85" ht="15">
      <c r="B400" s="30"/>
      <c r="C400" s="30"/>
      <c r="D400" s="30"/>
      <c r="E400" s="30"/>
      <c r="F400" s="30"/>
      <c r="G400" s="30"/>
      <c r="H400" s="30"/>
      <c r="I400" s="30"/>
      <c r="J400" s="30"/>
      <c r="K400" s="30"/>
      <c r="L400" s="30"/>
      <c r="M400" s="30"/>
      <c r="N400" s="30"/>
      <c r="O400" s="30"/>
      <c r="P400" s="30"/>
      <c r="Q400" s="30"/>
      <c r="R400" s="47"/>
      <c r="S400" s="47"/>
      <c r="T400" s="47"/>
      <c r="U400" s="47"/>
      <c r="V400" s="47"/>
      <c r="W400" s="47"/>
      <c r="X400" s="47"/>
      <c r="Y400" s="47"/>
      <c r="Z400" s="47"/>
      <c r="AA400" s="47"/>
      <c r="AE400" s="30"/>
      <c r="AF400" s="30"/>
      <c r="AG400" s="30"/>
      <c r="AH400" s="30"/>
      <c r="AI400" s="30"/>
      <c r="AJ400" s="59"/>
      <c r="AK400" s="30"/>
      <c r="AL400"/>
      <c r="AM400"/>
      <c r="AN400"/>
      <c r="AO400"/>
      <c r="AP400"/>
      <c r="AQ400"/>
      <c r="AR400"/>
      <c r="AS400"/>
      <c r="AT400"/>
      <c r="AU400"/>
      <c r="AV400"/>
      <c r="AW400"/>
      <c r="AX400"/>
      <c r="AY400"/>
      <c r="AZ400"/>
      <c r="BA400"/>
      <c r="BB400"/>
      <c r="BC400"/>
      <c r="BD400"/>
      <c r="BE400"/>
      <c r="BF400"/>
      <c r="BG400"/>
      <c r="BH400"/>
      <c r="BI400"/>
      <c r="BJ400"/>
      <c r="BK400"/>
      <c r="BL400"/>
      <c r="BM400"/>
      <c r="BN400"/>
      <c r="BO400"/>
      <c r="BP400"/>
      <c r="BQ400"/>
      <c r="BR400"/>
      <c r="BS400"/>
      <c r="BT400"/>
      <c r="BU400"/>
      <c r="BV400"/>
      <c r="BW400"/>
      <c r="BX400"/>
      <c r="BY400"/>
      <c r="BZ400"/>
      <c r="CA400"/>
      <c r="CB400"/>
      <c r="CC400"/>
      <c r="CD400"/>
      <c r="CE400"/>
      <c r="CF400"/>
      <c r="CG400"/>
    </row>
    <row r="401" spans="2:85" ht="15">
      <c r="B401" s="30"/>
      <c r="C401" s="30"/>
      <c r="D401" s="30"/>
      <c r="E401" s="30"/>
      <c r="F401" s="30"/>
      <c r="G401" s="30"/>
      <c r="H401" s="30"/>
      <c r="I401" s="30"/>
      <c r="J401" s="30"/>
      <c r="K401" s="30"/>
      <c r="L401" s="30"/>
      <c r="M401" s="30"/>
      <c r="N401" s="30"/>
      <c r="O401" s="30"/>
      <c r="P401" s="30"/>
      <c r="Q401" s="30"/>
      <c r="R401" s="47"/>
      <c r="S401" s="47"/>
      <c r="T401" s="47"/>
      <c r="U401" s="47"/>
      <c r="V401" s="47"/>
      <c r="W401" s="47"/>
      <c r="X401" s="47"/>
      <c r="Y401" s="47"/>
      <c r="Z401" s="47"/>
      <c r="AA401" s="47"/>
      <c r="AE401" s="30"/>
      <c r="AF401" s="30"/>
      <c r="AG401" s="30"/>
      <c r="AH401" s="30"/>
      <c r="AI401" s="30"/>
      <c r="AJ401" s="59"/>
      <c r="AK401" s="30"/>
      <c r="AL401"/>
      <c r="AM401"/>
      <c r="AN401"/>
      <c r="AO401"/>
      <c r="AP401"/>
      <c r="AQ401"/>
      <c r="AR401"/>
      <c r="AS401"/>
      <c r="AT401"/>
      <c r="AU401"/>
      <c r="AV401"/>
      <c r="AW401"/>
      <c r="AX401"/>
      <c r="AY401"/>
      <c r="AZ401"/>
      <c r="BA401"/>
      <c r="BB401"/>
      <c r="BC401"/>
      <c r="BD401"/>
      <c r="BE401"/>
      <c r="BF401"/>
      <c r="BG401"/>
      <c r="BH401"/>
      <c r="BI401"/>
      <c r="BJ401"/>
      <c r="BK401"/>
      <c r="BL401"/>
      <c r="BM401"/>
      <c r="BN401"/>
      <c r="BO401"/>
      <c r="BP401"/>
      <c r="BQ401"/>
      <c r="BR401"/>
      <c r="BS401"/>
      <c r="BT401"/>
      <c r="BU401"/>
      <c r="BV401"/>
      <c r="BW401"/>
      <c r="BX401"/>
      <c r="BY401"/>
      <c r="BZ401"/>
      <c r="CA401"/>
      <c r="CB401"/>
      <c r="CC401"/>
      <c r="CD401"/>
      <c r="CE401"/>
      <c r="CF401"/>
      <c r="CG401"/>
    </row>
    <row r="402" spans="2:85" ht="15">
      <c r="B402" s="30"/>
      <c r="C402" s="30"/>
      <c r="D402" s="30"/>
      <c r="E402" s="30"/>
      <c r="F402" s="30"/>
      <c r="G402" s="30"/>
      <c r="H402" s="30"/>
      <c r="I402" s="30"/>
      <c r="J402" s="30"/>
      <c r="K402" s="30"/>
      <c r="L402" s="30"/>
      <c r="M402" s="30"/>
      <c r="N402" s="30"/>
      <c r="O402" s="30"/>
      <c r="P402" s="30"/>
      <c r="Q402" s="30"/>
      <c r="R402" s="47"/>
      <c r="S402" s="47"/>
      <c r="T402" s="47"/>
      <c r="U402" s="47"/>
      <c r="V402" s="47"/>
      <c r="W402" s="47"/>
      <c r="X402" s="47"/>
      <c r="Y402" s="47"/>
      <c r="Z402" s="47"/>
      <c r="AA402" s="47"/>
      <c r="AE402" s="30"/>
      <c r="AF402" s="30"/>
      <c r="AG402" s="30"/>
      <c r="AH402" s="30"/>
      <c r="AI402" s="30"/>
      <c r="AJ402" s="59"/>
      <c r="AK402" s="30"/>
      <c r="AL402"/>
      <c r="AM402"/>
      <c r="AN402"/>
      <c r="AO402"/>
      <c r="AP402"/>
      <c r="AQ402"/>
      <c r="AR402"/>
      <c r="AS402"/>
      <c r="AT402"/>
      <c r="AU402"/>
      <c r="AV402"/>
      <c r="AW402"/>
      <c r="AX402"/>
      <c r="AY402"/>
      <c r="AZ402"/>
      <c r="BA402"/>
      <c r="BB402"/>
      <c r="BC402"/>
      <c r="BD402"/>
      <c r="BE402"/>
      <c r="BF402"/>
      <c r="BG402"/>
      <c r="BH402"/>
      <c r="BI402"/>
      <c r="BJ402"/>
      <c r="BK402"/>
      <c r="BL402"/>
      <c r="BM402"/>
      <c r="BN402"/>
      <c r="BO402"/>
      <c r="BP402"/>
      <c r="BQ402"/>
      <c r="BR402"/>
      <c r="BS402"/>
      <c r="BT402"/>
      <c r="BU402"/>
      <c r="BV402"/>
      <c r="BW402"/>
      <c r="BX402"/>
      <c r="BY402"/>
      <c r="BZ402"/>
      <c r="CA402"/>
      <c r="CB402"/>
      <c r="CC402"/>
      <c r="CD402"/>
      <c r="CE402"/>
      <c r="CF402"/>
      <c r="CG402"/>
    </row>
    <row r="403" spans="2:85" ht="15">
      <c r="B403" s="30"/>
      <c r="C403" s="30"/>
      <c r="D403" s="30"/>
      <c r="E403" s="30"/>
      <c r="F403" s="30"/>
      <c r="G403" s="30"/>
      <c r="H403" s="30"/>
      <c r="I403" s="30"/>
      <c r="J403" s="30"/>
      <c r="K403" s="30"/>
      <c r="L403" s="30"/>
      <c r="M403" s="30"/>
      <c r="N403" s="30"/>
      <c r="O403" s="30"/>
      <c r="P403" s="30"/>
      <c r="Q403" s="30"/>
      <c r="R403" s="47"/>
      <c r="S403" s="47"/>
      <c r="T403" s="47"/>
      <c r="U403" s="47"/>
      <c r="V403" s="47"/>
      <c r="W403" s="47"/>
      <c r="X403" s="47"/>
      <c r="Y403" s="47"/>
      <c r="Z403" s="47"/>
      <c r="AA403" s="47"/>
      <c r="AE403" s="9"/>
      <c r="AF403" s="30"/>
      <c r="AG403" s="30"/>
      <c r="AH403" s="30"/>
      <c r="AI403" s="30"/>
      <c r="AJ403" s="59"/>
      <c r="AK403" s="30"/>
      <c r="AL403"/>
      <c r="AM403"/>
      <c r="AN403"/>
      <c r="AO403"/>
      <c r="AP403"/>
      <c r="AQ403"/>
      <c r="AR403"/>
      <c r="AS403"/>
      <c r="AT403"/>
      <c r="AU403"/>
      <c r="AV403"/>
      <c r="AW403"/>
      <c r="AX403"/>
      <c r="AY403"/>
      <c r="AZ403"/>
      <c r="BA403"/>
      <c r="BB403"/>
      <c r="BC403"/>
      <c r="BD403"/>
      <c r="BE403"/>
      <c r="BF403"/>
      <c r="BG403"/>
      <c r="BH403"/>
      <c r="BI403"/>
      <c r="BJ403"/>
      <c r="BK403"/>
      <c r="BL403"/>
      <c r="BM403"/>
      <c r="BN403"/>
      <c r="BO403"/>
      <c r="BP403"/>
      <c r="BQ403"/>
      <c r="BR403"/>
      <c r="BS403"/>
      <c r="BT403"/>
      <c r="BU403"/>
      <c r="BV403"/>
      <c r="BW403"/>
      <c r="BX403"/>
      <c r="BY403"/>
      <c r="BZ403"/>
      <c r="CA403"/>
      <c r="CB403"/>
      <c r="CC403"/>
      <c r="CD403"/>
      <c r="CE403"/>
      <c r="CF403"/>
      <c r="CG403"/>
    </row>
    <row r="404" spans="2:85" ht="45.75" customHeight="1">
      <c r="B404" s="30"/>
      <c r="C404" s="30"/>
      <c r="D404" s="30"/>
      <c r="E404" s="30"/>
      <c r="F404" s="30"/>
      <c r="G404" s="30"/>
      <c r="H404" s="30"/>
      <c r="I404" s="30"/>
      <c r="J404" s="30"/>
      <c r="K404" s="30"/>
      <c r="L404" s="30"/>
      <c r="M404" s="30"/>
      <c r="N404" s="30"/>
      <c r="O404" s="30"/>
      <c r="P404" s="30"/>
      <c r="Q404" s="30"/>
      <c r="R404" s="47"/>
      <c r="S404" s="47"/>
      <c r="T404" s="47"/>
      <c r="U404" s="47"/>
      <c r="V404" s="47"/>
      <c r="W404" s="47"/>
      <c r="X404" s="47"/>
      <c r="Y404" s="47"/>
      <c r="Z404" s="47"/>
      <c r="AA404" s="47"/>
      <c r="AE404" s="9"/>
      <c r="AF404" s="30"/>
      <c r="AG404" s="30"/>
      <c r="AH404" s="30"/>
      <c r="AI404" s="30"/>
      <c r="AJ404" s="59"/>
      <c r="AK404" s="30"/>
      <c r="AL404"/>
      <c r="AM404"/>
      <c r="AN404"/>
      <c r="AO404"/>
      <c r="AP404"/>
      <c r="AQ404"/>
      <c r="AR404"/>
      <c r="AS404"/>
      <c r="AT404"/>
      <c r="AU404"/>
      <c r="AV404"/>
      <c r="AW404"/>
      <c r="AX404"/>
      <c r="AY404"/>
      <c r="AZ404"/>
      <c r="BA404"/>
      <c r="BB404"/>
      <c r="BC404"/>
      <c r="BD404"/>
      <c r="BE404"/>
      <c r="BF404"/>
      <c r="BG404"/>
      <c r="BH404"/>
      <c r="BI404"/>
      <c r="BJ404"/>
      <c r="BK404"/>
      <c r="BL404"/>
      <c r="BM404"/>
      <c r="BN404"/>
      <c r="BO404"/>
      <c r="BP404"/>
      <c r="BQ404"/>
      <c r="BR404"/>
      <c r="BS404"/>
      <c r="BT404"/>
      <c r="BU404"/>
      <c r="BV404"/>
      <c r="BW404"/>
      <c r="BX404"/>
      <c r="BY404"/>
      <c r="BZ404"/>
      <c r="CA404"/>
      <c r="CB404"/>
      <c r="CC404"/>
      <c r="CD404"/>
      <c r="CE404"/>
      <c r="CF404"/>
      <c r="CG404"/>
    </row>
    <row r="405" spans="2:85" ht="62.25" customHeight="1">
      <c r="B405" s="30"/>
      <c r="C405" s="30"/>
      <c r="D405" s="30"/>
      <c r="E405" s="30"/>
      <c r="F405" s="30"/>
      <c r="G405" s="30"/>
      <c r="H405" s="30"/>
      <c r="I405" s="30"/>
      <c r="J405" s="30"/>
      <c r="K405" s="30"/>
      <c r="L405" s="30"/>
      <c r="M405" s="30"/>
      <c r="N405" s="30"/>
      <c r="O405" s="30"/>
      <c r="P405" s="30"/>
      <c r="Q405" s="30"/>
      <c r="R405" s="47"/>
      <c r="S405" s="47"/>
      <c r="T405" s="47"/>
      <c r="U405" s="47"/>
      <c r="V405" s="47"/>
      <c r="W405" s="47"/>
      <c r="X405" s="47"/>
      <c r="Y405" s="47"/>
      <c r="Z405" s="47"/>
      <c r="AA405" s="47"/>
      <c r="AE405" s="9"/>
      <c r="AF405" s="9"/>
      <c r="AG405" s="9"/>
      <c r="AH405" s="9"/>
      <c r="AI405" s="9"/>
      <c r="AJ405" s="60"/>
      <c r="AK405" s="30"/>
      <c r="AL405"/>
      <c r="AM405"/>
      <c r="AN405"/>
      <c r="AO405"/>
      <c r="AP405"/>
      <c r="AQ405"/>
      <c r="AR405"/>
      <c r="AS405"/>
      <c r="AT405"/>
      <c r="AU405"/>
      <c r="AV405"/>
      <c r="AW405"/>
      <c r="AX405"/>
      <c r="AY405"/>
      <c r="AZ405"/>
      <c r="BA405"/>
      <c r="BB405"/>
      <c r="BC405"/>
      <c r="BD405"/>
      <c r="BE405"/>
      <c r="BF405"/>
      <c r="BG405"/>
      <c r="BH405"/>
      <c r="BI405"/>
      <c r="BJ405"/>
      <c r="BK405"/>
      <c r="BL405"/>
      <c r="BM405"/>
      <c r="BN405"/>
      <c r="BO405"/>
      <c r="BP405"/>
      <c r="BQ405"/>
      <c r="BR405"/>
      <c r="BS405"/>
      <c r="BT405"/>
      <c r="BU405"/>
      <c r="BV405"/>
      <c r="BW405"/>
      <c r="BX405"/>
      <c r="BY405"/>
      <c r="BZ405"/>
      <c r="CA405"/>
      <c r="CB405"/>
      <c r="CC405"/>
      <c r="CD405"/>
      <c r="CE405"/>
      <c r="CF405"/>
      <c r="CG405"/>
    </row>
    <row r="406" spans="2:85" ht="15">
      <c r="B406" s="30"/>
      <c r="C406" s="30"/>
      <c r="D406" s="30"/>
      <c r="E406" s="30"/>
      <c r="F406" s="30"/>
      <c r="G406" s="30"/>
      <c r="H406" s="30"/>
      <c r="I406" s="30"/>
      <c r="J406" s="30"/>
      <c r="K406" s="30"/>
      <c r="L406" s="30"/>
      <c r="M406" s="30"/>
      <c r="N406" s="30"/>
      <c r="O406" s="30"/>
      <c r="P406" s="30"/>
      <c r="Q406" s="30"/>
      <c r="R406" s="47"/>
      <c r="S406" s="48"/>
      <c r="T406" s="48"/>
      <c r="U406" s="48"/>
      <c r="V406" s="47"/>
      <c r="W406" s="47"/>
      <c r="X406" s="47"/>
      <c r="Y406" s="48"/>
      <c r="Z406" s="48"/>
      <c r="AA406" s="48"/>
      <c r="AE406" s="9"/>
      <c r="AF406" s="9"/>
      <c r="AG406" s="9"/>
      <c r="AH406" s="9"/>
      <c r="AI406" s="9"/>
      <c r="AJ406" s="60"/>
      <c r="AK406" s="30"/>
      <c r="AL406"/>
      <c r="AM406"/>
      <c r="AN406"/>
      <c r="AO406"/>
      <c r="AP406"/>
      <c r="AQ406"/>
      <c r="AR406"/>
      <c r="AS406"/>
      <c r="AT406"/>
      <c r="AU406"/>
      <c r="AV406"/>
      <c r="AW406"/>
      <c r="AX406"/>
      <c r="AY406"/>
      <c r="AZ406"/>
      <c r="BA406"/>
      <c r="BB406"/>
      <c r="BC406"/>
      <c r="BD406"/>
      <c r="BE406"/>
      <c r="BF406"/>
      <c r="BG406"/>
      <c r="BH406"/>
      <c r="BI406"/>
      <c r="BJ406"/>
      <c r="BK406"/>
      <c r="BL406"/>
      <c r="BM406"/>
      <c r="BN406"/>
      <c r="BO406"/>
      <c r="BP406"/>
      <c r="BQ406"/>
      <c r="BR406"/>
      <c r="BS406"/>
      <c r="BT406"/>
      <c r="BU406"/>
      <c r="BV406"/>
      <c r="BW406"/>
      <c r="BX406"/>
      <c r="BY406"/>
      <c r="BZ406"/>
      <c r="CA406"/>
      <c r="CB406"/>
      <c r="CC406"/>
      <c r="CD406"/>
      <c r="CE406"/>
      <c r="CF406"/>
      <c r="CG406"/>
    </row>
    <row r="407" spans="2:85" ht="15">
      <c r="B407" s="30"/>
      <c r="C407" s="30"/>
      <c r="D407" s="30"/>
      <c r="E407" s="30"/>
      <c r="F407" s="30"/>
      <c r="G407" s="30"/>
      <c r="H407" s="30"/>
      <c r="I407" s="30"/>
      <c r="J407" s="30"/>
      <c r="K407" s="30"/>
      <c r="L407" s="30"/>
      <c r="M407" s="30"/>
      <c r="N407" s="30"/>
      <c r="O407" s="30"/>
      <c r="P407" s="30"/>
      <c r="Q407" s="30"/>
      <c r="R407" s="47"/>
      <c r="S407" s="48"/>
      <c r="T407" s="48"/>
      <c r="U407" s="48"/>
      <c r="V407" s="48"/>
      <c r="W407" s="48"/>
      <c r="X407" s="48"/>
      <c r="Y407" s="48"/>
      <c r="Z407" s="48"/>
      <c r="AA407" s="48"/>
      <c r="AE407" s="9"/>
      <c r="AF407" s="9"/>
      <c r="AG407" s="9"/>
      <c r="AH407" s="9"/>
      <c r="AI407" s="9"/>
      <c r="AJ407" s="60"/>
      <c r="AK407" s="30"/>
      <c r="AL407"/>
      <c r="AM407"/>
      <c r="AN407"/>
      <c r="AO407"/>
      <c r="AP407"/>
      <c r="AQ407"/>
      <c r="AR407"/>
      <c r="AS407"/>
      <c r="AT407"/>
      <c r="AU407"/>
      <c r="AV407"/>
      <c r="AW407"/>
      <c r="AX407"/>
      <c r="AY407"/>
      <c r="AZ407"/>
      <c r="BA407"/>
      <c r="BB407"/>
      <c r="BC407"/>
      <c r="BD407"/>
      <c r="BE407"/>
      <c r="BF407"/>
      <c r="BG407"/>
      <c r="BH407"/>
      <c r="BI407"/>
      <c r="BJ407"/>
      <c r="BK407"/>
      <c r="BL407"/>
      <c r="BM407"/>
      <c r="BN407"/>
      <c r="BO407"/>
      <c r="BP407"/>
      <c r="BQ407"/>
      <c r="BR407"/>
      <c r="BS407"/>
      <c r="BT407"/>
      <c r="BU407"/>
      <c r="BV407"/>
      <c r="BW407"/>
      <c r="BX407"/>
      <c r="BY407"/>
      <c r="BZ407"/>
      <c r="CA407"/>
      <c r="CB407"/>
      <c r="CC407"/>
      <c r="CD407"/>
      <c r="CE407"/>
      <c r="CF407"/>
      <c r="CG407"/>
    </row>
    <row r="408" spans="2:85" ht="15">
      <c r="B408" s="30"/>
      <c r="C408" s="30"/>
      <c r="D408" s="30"/>
      <c r="E408" s="30"/>
      <c r="F408" s="30"/>
      <c r="G408" s="30"/>
      <c r="H408" s="30"/>
      <c r="I408" s="30"/>
      <c r="J408" s="30"/>
      <c r="K408" s="30"/>
      <c r="L408" s="30"/>
      <c r="M408" s="30"/>
      <c r="N408" s="30"/>
      <c r="O408" s="30"/>
      <c r="P408" s="30"/>
      <c r="Q408" s="30"/>
      <c r="R408" s="47"/>
      <c r="S408" s="48"/>
      <c r="T408" s="48"/>
      <c r="U408" s="48"/>
      <c r="V408" s="48"/>
      <c r="W408" s="48"/>
      <c r="X408" s="48"/>
      <c r="Y408" s="48"/>
      <c r="Z408" s="48"/>
      <c r="AA408" s="48"/>
      <c r="AE408" s="9"/>
      <c r="AF408" s="9"/>
      <c r="AG408" s="9"/>
      <c r="AH408" s="9"/>
      <c r="AI408" s="9"/>
      <c r="AJ408" s="60"/>
      <c r="AK408" s="9"/>
      <c r="AL408"/>
      <c r="AM408"/>
      <c r="AN408"/>
      <c r="AO408"/>
      <c r="AP408"/>
      <c r="AQ408"/>
      <c r="AR408"/>
      <c r="AS408"/>
      <c r="AT408"/>
      <c r="AU408"/>
      <c r="AV408"/>
      <c r="AW408"/>
      <c r="AX408"/>
      <c r="AY408"/>
      <c r="AZ408"/>
      <c r="BA408"/>
      <c r="BB408"/>
      <c r="BC408"/>
      <c r="BD408"/>
      <c r="BE408"/>
      <c r="BF408"/>
      <c r="BG408"/>
      <c r="BH408"/>
      <c r="BI408"/>
      <c r="BJ408"/>
      <c r="BK408"/>
      <c r="BL408"/>
      <c r="BM408"/>
      <c r="BN408"/>
      <c r="BO408"/>
      <c r="BP408"/>
      <c r="BQ408"/>
      <c r="BR408"/>
      <c r="BS408"/>
      <c r="BT408"/>
      <c r="BU408"/>
      <c r="BV408"/>
      <c r="BW408"/>
      <c r="BX408"/>
      <c r="BY408"/>
      <c r="BZ408"/>
      <c r="CA408"/>
      <c r="CB408"/>
      <c r="CC408"/>
      <c r="CD408"/>
      <c r="CE408"/>
      <c r="CF408"/>
      <c r="CG408"/>
    </row>
    <row r="409" spans="2:85" ht="15">
      <c r="B409" s="30"/>
      <c r="C409" s="30"/>
      <c r="D409" s="30"/>
      <c r="E409" s="30"/>
      <c r="F409" s="30"/>
      <c r="G409" s="30"/>
      <c r="H409" s="30"/>
      <c r="I409" s="30"/>
      <c r="J409" s="30"/>
      <c r="K409" s="30"/>
      <c r="L409" s="30"/>
      <c r="M409" s="30"/>
      <c r="N409" s="30"/>
      <c r="O409" s="30"/>
      <c r="P409" s="30"/>
      <c r="Q409" s="30"/>
      <c r="R409" s="47"/>
      <c r="S409" s="48"/>
      <c r="T409" s="48"/>
      <c r="U409" s="48"/>
      <c r="V409" s="48"/>
      <c r="W409" s="48"/>
      <c r="X409" s="48"/>
      <c r="Y409" s="48"/>
      <c r="Z409" s="48"/>
      <c r="AA409" s="48"/>
      <c r="AE409" s="9"/>
      <c r="AF409" s="9"/>
      <c r="AG409" s="9"/>
      <c r="AH409" s="9"/>
      <c r="AI409" s="9"/>
      <c r="AJ409" s="60"/>
      <c r="AK409" s="9"/>
      <c r="AL409"/>
      <c r="AM409"/>
      <c r="AN409"/>
      <c r="AO409"/>
      <c r="AP409"/>
      <c r="AQ409"/>
      <c r="AR409"/>
      <c r="AS409"/>
      <c r="AT409"/>
      <c r="AU409"/>
      <c r="AV409"/>
      <c r="AW409"/>
      <c r="AX409"/>
      <c r="AY409"/>
      <c r="AZ409"/>
      <c r="BA409"/>
      <c r="BB409"/>
      <c r="BC409"/>
      <c r="BD409"/>
      <c r="BE409"/>
      <c r="BF409"/>
      <c r="BG409"/>
      <c r="BH409"/>
      <c r="BI409"/>
      <c r="BJ409"/>
      <c r="BK409"/>
      <c r="BL409"/>
      <c r="BM409"/>
      <c r="BN409"/>
      <c r="BO409"/>
      <c r="BP409"/>
      <c r="BQ409"/>
      <c r="BR409"/>
      <c r="BS409"/>
      <c r="BT409"/>
      <c r="BU409"/>
      <c r="BV409"/>
      <c r="BW409"/>
      <c r="BX409"/>
      <c r="BY409"/>
      <c r="BZ409"/>
      <c r="CA409"/>
      <c r="CB409"/>
      <c r="CC409"/>
      <c r="CD409"/>
      <c r="CE409"/>
      <c r="CF409"/>
      <c r="CG409"/>
    </row>
    <row r="410" spans="2:85" ht="15">
      <c r="B410" s="30"/>
      <c r="C410" s="30"/>
      <c r="D410" s="30"/>
      <c r="E410" s="30"/>
      <c r="F410" s="30"/>
      <c r="G410" s="30"/>
      <c r="H410" s="30"/>
      <c r="I410" s="30"/>
      <c r="J410" s="30"/>
      <c r="K410" s="30"/>
      <c r="L410" s="30"/>
      <c r="M410" s="30"/>
      <c r="N410" s="30"/>
      <c r="O410" s="30"/>
      <c r="P410" s="30"/>
      <c r="Q410" s="30"/>
      <c r="R410" s="47"/>
      <c r="S410" s="48"/>
      <c r="T410" s="48"/>
      <c r="U410" s="48"/>
      <c r="V410" s="48"/>
      <c r="W410" s="48"/>
      <c r="X410" s="48"/>
      <c r="Y410" s="48"/>
      <c r="Z410" s="48"/>
      <c r="AA410" s="48"/>
      <c r="AE410" s="9"/>
      <c r="AF410" s="9"/>
      <c r="AG410" s="9"/>
      <c r="AH410" s="9"/>
      <c r="AI410" s="9"/>
      <c r="AJ410" s="60"/>
      <c r="AK410" s="9"/>
      <c r="AL410"/>
      <c r="AM410"/>
      <c r="AN410"/>
      <c r="AO410"/>
      <c r="AP410"/>
      <c r="AQ410"/>
      <c r="AR410"/>
      <c r="AS410"/>
      <c r="AT410"/>
      <c r="AU410"/>
      <c r="AV410"/>
      <c r="AW410"/>
      <c r="AX410"/>
      <c r="AY410"/>
      <c r="AZ410"/>
      <c r="BA410"/>
      <c r="BB410"/>
      <c r="BC410"/>
      <c r="BD410"/>
      <c r="BE410"/>
      <c r="BF410"/>
      <c r="BG410"/>
      <c r="BH410"/>
      <c r="BI410"/>
      <c r="BJ410"/>
      <c r="BK410"/>
      <c r="BL410"/>
      <c r="BM410"/>
      <c r="BN410"/>
      <c r="BO410"/>
      <c r="BP410"/>
      <c r="BQ410"/>
      <c r="BR410"/>
      <c r="BS410"/>
      <c r="BT410"/>
      <c r="BU410"/>
      <c r="BV410"/>
      <c r="BW410"/>
      <c r="BX410"/>
      <c r="BY410"/>
      <c r="BZ410"/>
      <c r="CA410"/>
      <c r="CB410"/>
      <c r="CC410"/>
      <c r="CD410"/>
      <c r="CE410"/>
      <c r="CF410"/>
      <c r="CG410"/>
    </row>
    <row r="411" spans="2:85" ht="15">
      <c r="B411" s="30"/>
      <c r="C411" s="30"/>
      <c r="D411" s="30"/>
      <c r="E411" s="30"/>
      <c r="F411" s="30"/>
      <c r="G411" s="30"/>
      <c r="H411" s="30"/>
      <c r="I411" s="30"/>
      <c r="J411" s="30"/>
      <c r="K411" s="30"/>
      <c r="L411" s="30"/>
      <c r="M411" s="30"/>
      <c r="N411" s="30"/>
      <c r="O411" s="30"/>
      <c r="P411" s="30"/>
      <c r="Q411" s="30"/>
      <c r="R411" s="47"/>
      <c r="S411" s="48"/>
      <c r="T411" s="48"/>
      <c r="U411" s="48"/>
      <c r="V411" s="48"/>
      <c r="W411" s="48"/>
      <c r="X411" s="48"/>
      <c r="Y411" s="48"/>
      <c r="Z411" s="48"/>
      <c r="AA411" s="48"/>
      <c r="AE411" s="9"/>
      <c r="AF411" s="9"/>
      <c r="AG411" s="9"/>
      <c r="AH411" s="9"/>
      <c r="AI411" s="9"/>
      <c r="AJ411" s="60"/>
      <c r="AK411" s="9"/>
      <c r="AL411"/>
      <c r="AM411"/>
      <c r="AN411"/>
      <c r="AO411"/>
      <c r="AP411"/>
      <c r="AQ411"/>
      <c r="AR411"/>
      <c r="AS411"/>
      <c r="AT411"/>
      <c r="AU411"/>
      <c r="AV411"/>
      <c r="AW411"/>
      <c r="AX411"/>
      <c r="AY411"/>
      <c r="AZ411"/>
      <c r="BA411"/>
      <c r="BB411"/>
      <c r="BC411"/>
      <c r="BD411"/>
      <c r="BE411"/>
      <c r="BF411"/>
      <c r="BG411"/>
      <c r="BH411"/>
      <c r="BI411"/>
      <c r="BJ411"/>
      <c r="BK411"/>
      <c r="BL411"/>
      <c r="BM411"/>
      <c r="BN411"/>
      <c r="BO411"/>
      <c r="BP411"/>
      <c r="BQ411"/>
      <c r="BR411"/>
      <c r="BS411"/>
      <c r="BT411"/>
      <c r="BU411"/>
      <c r="BV411"/>
      <c r="BW411"/>
      <c r="BX411"/>
      <c r="BY411"/>
      <c r="BZ411"/>
      <c r="CA411"/>
      <c r="CB411"/>
      <c r="CC411"/>
      <c r="CD411"/>
      <c r="CE411"/>
      <c r="CF411"/>
      <c r="CG411"/>
    </row>
    <row r="412" spans="2:85" ht="15">
      <c r="B412" s="30"/>
      <c r="C412" s="30"/>
      <c r="D412" s="30"/>
      <c r="E412" s="30"/>
      <c r="F412" s="30"/>
      <c r="G412" s="30"/>
      <c r="H412" s="30"/>
      <c r="I412" s="30"/>
      <c r="J412" s="30"/>
      <c r="K412" s="30"/>
      <c r="L412" s="30"/>
      <c r="M412" s="30"/>
      <c r="N412" s="30"/>
      <c r="O412" s="30"/>
      <c r="P412" s="30"/>
      <c r="Q412" s="30"/>
      <c r="R412" s="47"/>
      <c r="S412" s="48"/>
      <c r="T412" s="48"/>
      <c r="U412" s="48"/>
      <c r="V412" s="48"/>
      <c r="W412" s="48"/>
      <c r="X412" s="48"/>
      <c r="Y412" s="48"/>
      <c r="Z412" s="48"/>
      <c r="AA412" s="48"/>
      <c r="AE412" s="9"/>
      <c r="AF412" s="9"/>
      <c r="AG412" s="9"/>
      <c r="AH412" s="9"/>
      <c r="AI412" s="9"/>
      <c r="AJ412" s="60"/>
      <c r="AK412" s="9"/>
      <c r="AL412"/>
      <c r="AM412"/>
      <c r="AN412"/>
      <c r="AO412"/>
      <c r="AP412"/>
      <c r="AQ412"/>
      <c r="AR412"/>
      <c r="AS412"/>
      <c r="AT412"/>
      <c r="AU412"/>
      <c r="AV412"/>
      <c r="AW412"/>
      <c r="AX412"/>
      <c r="AY412"/>
      <c r="AZ412"/>
      <c r="BA412"/>
      <c r="BB412"/>
      <c r="BC412"/>
      <c r="BD412"/>
      <c r="BE412"/>
      <c r="BF412"/>
      <c r="BG412"/>
      <c r="BH412"/>
      <c r="BI412"/>
      <c r="BJ412"/>
      <c r="BK412"/>
      <c r="BL412"/>
      <c r="BM412"/>
      <c r="BN412"/>
      <c r="BO412"/>
      <c r="BP412"/>
      <c r="BQ412"/>
      <c r="BR412"/>
      <c r="BS412"/>
      <c r="BT412"/>
      <c r="BU412"/>
      <c r="BV412"/>
      <c r="BW412"/>
      <c r="BX412"/>
      <c r="BY412"/>
      <c r="BZ412"/>
      <c r="CA412"/>
      <c r="CB412"/>
      <c r="CC412"/>
      <c r="CD412"/>
      <c r="CE412"/>
      <c r="CF412"/>
      <c r="CG412"/>
    </row>
    <row r="413" spans="2:85" ht="15">
      <c r="B413" s="30"/>
      <c r="C413" s="30"/>
      <c r="D413" s="30"/>
      <c r="E413" s="30"/>
      <c r="F413" s="30"/>
      <c r="G413" s="30"/>
      <c r="H413" s="30"/>
      <c r="I413" s="30"/>
      <c r="J413" s="30"/>
      <c r="K413" s="30"/>
      <c r="L413" s="30"/>
      <c r="M413" s="30"/>
      <c r="N413" s="30"/>
      <c r="O413" s="30"/>
      <c r="P413" s="30"/>
      <c r="Q413" s="30"/>
      <c r="R413" s="47"/>
      <c r="S413" s="48"/>
      <c r="T413" s="48"/>
      <c r="U413" s="48"/>
      <c r="V413" s="48"/>
      <c r="W413" s="48"/>
      <c r="X413" s="48"/>
      <c r="Y413" s="48"/>
      <c r="Z413" s="48"/>
      <c r="AA413" s="48"/>
      <c r="AE413" s="9"/>
      <c r="AF413" s="9"/>
      <c r="AG413" s="9"/>
      <c r="AH413" s="9"/>
      <c r="AI413" s="9"/>
      <c r="AJ413" s="60"/>
      <c r="AK413" s="9"/>
      <c r="AL413"/>
      <c r="AM413"/>
      <c r="AN413"/>
      <c r="AO413"/>
      <c r="AP413"/>
      <c r="AQ413"/>
      <c r="AR413"/>
      <c r="AS413"/>
      <c r="AT413"/>
      <c r="AU413"/>
      <c r="AV413"/>
      <c r="AW413"/>
      <c r="AX413"/>
      <c r="AY413"/>
      <c r="AZ413"/>
      <c r="BA413"/>
      <c r="BB413"/>
      <c r="BC413"/>
      <c r="BD413"/>
      <c r="BE413"/>
      <c r="BF413"/>
      <c r="BG413"/>
      <c r="BH413"/>
      <c r="BI413"/>
      <c r="BJ413"/>
      <c r="BK413"/>
      <c r="BL413"/>
      <c r="BM413"/>
      <c r="BN413"/>
      <c r="BO413"/>
      <c r="BP413"/>
      <c r="BQ413"/>
      <c r="BR413"/>
      <c r="BS413"/>
      <c r="BT413"/>
      <c r="BU413"/>
      <c r="BV413"/>
      <c r="BW413"/>
      <c r="BX413"/>
      <c r="BY413"/>
      <c r="BZ413"/>
      <c r="CA413"/>
      <c r="CB413"/>
      <c r="CC413"/>
      <c r="CD413"/>
      <c r="CE413"/>
      <c r="CF413"/>
      <c r="CG413"/>
    </row>
    <row r="414" spans="2:85" ht="15">
      <c r="B414" s="30"/>
      <c r="C414" s="30"/>
      <c r="D414" s="30"/>
      <c r="E414" s="30"/>
      <c r="F414" s="30"/>
      <c r="G414" s="30"/>
      <c r="H414" s="30"/>
      <c r="I414" s="30"/>
      <c r="J414" s="30"/>
      <c r="K414" s="30"/>
      <c r="L414" s="30"/>
      <c r="M414" s="30"/>
      <c r="N414" s="30"/>
      <c r="O414" s="30"/>
      <c r="P414" s="30"/>
      <c r="Q414" s="30"/>
      <c r="R414" s="47"/>
      <c r="S414" s="48"/>
      <c r="T414" s="48"/>
      <c r="U414" s="48"/>
      <c r="V414" s="48"/>
      <c r="W414" s="48"/>
      <c r="X414" s="48"/>
      <c r="Y414" s="48"/>
      <c r="Z414" s="48"/>
      <c r="AA414" s="48"/>
      <c r="AE414" s="9"/>
      <c r="AF414" s="9"/>
      <c r="AG414" s="9"/>
      <c r="AH414" s="9"/>
      <c r="AI414" s="9"/>
      <c r="AJ414" s="60"/>
      <c r="AK414" s="9"/>
      <c r="AL414"/>
      <c r="AM414"/>
      <c r="AN414"/>
      <c r="AO414"/>
      <c r="AP414"/>
      <c r="AQ414"/>
      <c r="AR414"/>
      <c r="AS414"/>
      <c r="AT414"/>
      <c r="AU414"/>
      <c r="AV414"/>
      <c r="AW414"/>
      <c r="AX414"/>
      <c r="AY414"/>
      <c r="AZ414"/>
      <c r="BA414"/>
      <c r="BB414"/>
      <c r="BC414"/>
      <c r="BD414"/>
      <c r="BE414"/>
      <c r="BF414"/>
      <c r="BG414"/>
      <c r="BH414"/>
      <c r="BI414"/>
      <c r="BJ414"/>
      <c r="BK414"/>
      <c r="BL414"/>
      <c r="BM414"/>
      <c r="BN414"/>
      <c r="BO414"/>
      <c r="BP414"/>
      <c r="BQ414"/>
      <c r="BR414"/>
      <c r="BS414"/>
      <c r="BT414"/>
      <c r="BU414"/>
      <c r="BV414"/>
      <c r="BW414"/>
      <c r="BX414"/>
      <c r="BY414"/>
      <c r="BZ414"/>
      <c r="CA414"/>
      <c r="CB414"/>
      <c r="CC414"/>
      <c r="CD414"/>
      <c r="CE414"/>
      <c r="CF414"/>
      <c r="CG414"/>
    </row>
    <row r="415" spans="2:85" ht="15">
      <c r="B415" s="30"/>
      <c r="C415" s="30"/>
      <c r="D415" s="30"/>
      <c r="E415" s="30"/>
      <c r="F415" s="30"/>
      <c r="G415" s="30"/>
      <c r="H415" s="30"/>
      <c r="I415" s="30"/>
      <c r="J415" s="30"/>
      <c r="K415" s="30"/>
      <c r="L415" s="30"/>
      <c r="M415" s="30"/>
      <c r="N415" s="30"/>
      <c r="O415" s="30"/>
      <c r="P415" s="30"/>
      <c r="Q415" s="30"/>
      <c r="R415" s="47"/>
      <c r="S415" s="48"/>
      <c r="T415" s="48"/>
      <c r="U415" s="48"/>
      <c r="V415" s="48"/>
      <c r="W415" s="48"/>
      <c r="X415" s="48"/>
      <c r="Y415" s="48"/>
      <c r="Z415" s="48"/>
      <c r="AA415" s="48"/>
      <c r="AE415" s="9"/>
      <c r="AF415" s="9"/>
      <c r="AG415" s="9"/>
      <c r="AH415" s="9"/>
      <c r="AI415" s="9"/>
      <c r="AJ415" s="60"/>
      <c r="AK415" s="9"/>
      <c r="AL415"/>
      <c r="AM415"/>
      <c r="AN415"/>
      <c r="AO415"/>
      <c r="AP415"/>
      <c r="AQ415"/>
      <c r="AR415"/>
      <c r="AS415"/>
      <c r="AT415"/>
      <c r="AU415"/>
      <c r="AV415"/>
      <c r="AW415"/>
      <c r="AX415"/>
      <c r="AY415"/>
      <c r="AZ415"/>
      <c r="BA415"/>
      <c r="BB415"/>
      <c r="BC415"/>
      <c r="BD415"/>
      <c r="BE415"/>
      <c r="BF415"/>
      <c r="BG415"/>
      <c r="BH415"/>
      <c r="BI415"/>
      <c r="BJ415"/>
      <c r="BK415"/>
      <c r="BL415"/>
      <c r="BM415"/>
      <c r="BN415"/>
      <c r="BO415"/>
      <c r="BP415"/>
      <c r="BQ415"/>
      <c r="BR415"/>
      <c r="BS415"/>
      <c r="BT415"/>
      <c r="BU415"/>
      <c r="BV415"/>
      <c r="BW415"/>
      <c r="BX415"/>
      <c r="BY415"/>
      <c r="BZ415"/>
      <c r="CA415"/>
      <c r="CB415"/>
      <c r="CC415"/>
      <c r="CD415"/>
      <c r="CE415"/>
      <c r="CF415"/>
      <c r="CG415"/>
    </row>
    <row r="416" spans="2:85" ht="15">
      <c r="B416" s="30"/>
      <c r="C416" s="30"/>
      <c r="D416" s="30"/>
      <c r="E416" s="30"/>
      <c r="F416" s="30"/>
      <c r="G416" s="30"/>
      <c r="H416" s="30"/>
      <c r="I416" s="30"/>
      <c r="J416" s="30"/>
      <c r="K416" s="30"/>
      <c r="L416" s="30"/>
      <c r="M416" s="30"/>
      <c r="N416" s="30"/>
      <c r="O416" s="30"/>
      <c r="P416" s="30"/>
      <c r="Q416" s="30"/>
      <c r="R416" s="47"/>
      <c r="S416" s="48"/>
      <c r="T416" s="48"/>
      <c r="U416" s="48"/>
      <c r="V416" s="48"/>
      <c r="W416" s="48"/>
      <c r="X416" s="48"/>
      <c r="Y416" s="48"/>
      <c r="Z416" s="48"/>
      <c r="AA416" s="48"/>
      <c r="AE416" s="9"/>
      <c r="AF416" s="9"/>
      <c r="AG416" s="9"/>
      <c r="AH416" s="9"/>
      <c r="AI416" s="9"/>
      <c r="AJ416" s="60"/>
      <c r="AK416" s="9"/>
      <c r="AL416"/>
      <c r="AM416"/>
      <c r="AN416"/>
      <c r="AO416"/>
      <c r="AP416"/>
      <c r="AQ416"/>
      <c r="AR416"/>
      <c r="AS416"/>
      <c r="AT416"/>
      <c r="AU416"/>
      <c r="AV416"/>
      <c r="AW416"/>
      <c r="AX416"/>
      <c r="AY416"/>
      <c r="AZ416"/>
      <c r="BA416"/>
      <c r="BB416"/>
      <c r="BC416"/>
      <c r="BD416"/>
      <c r="BE416"/>
      <c r="BF416"/>
      <c r="BG416"/>
      <c r="BH416"/>
      <c r="BI416"/>
      <c r="BJ416"/>
      <c r="BK416"/>
      <c r="BL416"/>
      <c r="BM416"/>
      <c r="BN416"/>
      <c r="BO416"/>
      <c r="BP416"/>
      <c r="BQ416"/>
      <c r="BR416"/>
      <c r="BS416"/>
      <c r="BT416"/>
      <c r="BU416"/>
      <c r="BV416"/>
      <c r="BW416"/>
      <c r="BX416"/>
      <c r="BY416"/>
      <c r="BZ416"/>
      <c r="CA416"/>
      <c r="CB416"/>
      <c r="CC416"/>
      <c r="CD416"/>
      <c r="CE416"/>
      <c r="CF416"/>
      <c r="CG416"/>
    </row>
    <row r="417" spans="2:85" ht="15">
      <c r="B417" s="30"/>
      <c r="C417" s="30"/>
      <c r="D417" s="30"/>
      <c r="E417" s="30"/>
      <c r="F417" s="30"/>
      <c r="G417" s="30"/>
      <c r="H417" s="30"/>
      <c r="I417" s="30"/>
      <c r="J417" s="30"/>
      <c r="K417" s="30"/>
      <c r="L417" s="30"/>
      <c r="M417" s="30"/>
      <c r="N417" s="30"/>
      <c r="O417" s="30"/>
      <c r="P417" s="30"/>
      <c r="Q417" s="30"/>
      <c r="R417" s="47"/>
      <c r="S417" s="48"/>
      <c r="T417" s="48"/>
      <c r="U417" s="48"/>
      <c r="V417" s="48"/>
      <c r="W417" s="48"/>
      <c r="X417" s="48"/>
      <c r="Y417" s="48"/>
      <c r="Z417" s="48"/>
      <c r="AA417" s="48"/>
      <c r="AE417" s="9"/>
      <c r="AF417" s="9"/>
      <c r="AG417" s="9"/>
      <c r="AH417" s="9"/>
      <c r="AI417" s="9"/>
      <c r="AJ417" s="60"/>
      <c r="AK417" s="9"/>
      <c r="AL417"/>
      <c r="AM417"/>
      <c r="AN417"/>
      <c r="AO417"/>
      <c r="AP417"/>
      <c r="AQ417"/>
      <c r="AR417"/>
      <c r="AS417"/>
      <c r="AT417"/>
      <c r="AU417"/>
      <c r="AV417"/>
      <c r="AW417"/>
      <c r="AX417"/>
      <c r="AY417"/>
      <c r="AZ417"/>
      <c r="BA417"/>
      <c r="BB417"/>
      <c r="BC417"/>
      <c r="BD417"/>
      <c r="BE417"/>
      <c r="BF417"/>
      <c r="BG417"/>
      <c r="BH417"/>
      <c r="BI417"/>
      <c r="BJ417"/>
      <c r="BK417"/>
      <c r="BL417"/>
      <c r="BM417"/>
      <c r="BN417"/>
      <c r="BO417"/>
      <c r="BP417"/>
      <c r="BQ417"/>
      <c r="BR417"/>
      <c r="BS417"/>
      <c r="BT417"/>
      <c r="BU417"/>
      <c r="BV417"/>
      <c r="BW417"/>
      <c r="BX417"/>
      <c r="BY417"/>
      <c r="BZ417"/>
      <c r="CA417"/>
      <c r="CB417"/>
      <c r="CC417"/>
      <c r="CD417"/>
      <c r="CE417"/>
      <c r="CF417"/>
      <c r="CG417"/>
    </row>
    <row r="418" spans="2:85" ht="15">
      <c r="B418" s="30"/>
      <c r="C418" s="30"/>
      <c r="D418" s="30"/>
      <c r="E418" s="30"/>
      <c r="F418" s="30"/>
      <c r="G418" s="30"/>
      <c r="H418" s="30"/>
      <c r="I418" s="30"/>
      <c r="J418" s="30"/>
      <c r="K418" s="30"/>
      <c r="L418" s="30"/>
      <c r="M418" s="30"/>
      <c r="N418" s="30"/>
      <c r="O418" s="30"/>
      <c r="P418" s="30"/>
      <c r="Q418" s="30"/>
      <c r="R418" s="47"/>
      <c r="S418" s="48"/>
      <c r="T418" s="48"/>
      <c r="U418" s="48"/>
      <c r="V418" s="48"/>
      <c r="W418" s="48"/>
      <c r="X418" s="48"/>
      <c r="Y418" s="48"/>
      <c r="Z418" s="48"/>
      <c r="AA418" s="48"/>
      <c r="AE418" s="9"/>
      <c r="AF418" s="9"/>
      <c r="AG418" s="9"/>
      <c r="AH418" s="9"/>
      <c r="AI418" s="9"/>
      <c r="AJ418" s="60"/>
      <c r="AK418" s="9"/>
      <c r="AL418"/>
      <c r="AM418"/>
      <c r="AN418"/>
      <c r="AO418"/>
      <c r="AP418"/>
      <c r="AQ418"/>
      <c r="AR418"/>
      <c r="AS418"/>
      <c r="AT418"/>
      <c r="AU418"/>
      <c r="AV418"/>
      <c r="AW418"/>
      <c r="AX418"/>
      <c r="AY418"/>
      <c r="AZ418"/>
      <c r="BA418"/>
      <c r="BB418"/>
      <c r="BC418"/>
      <c r="BD418"/>
      <c r="BE418"/>
      <c r="BF418"/>
      <c r="BG418"/>
      <c r="BH418"/>
      <c r="BI418"/>
      <c r="BJ418"/>
      <c r="BK418"/>
      <c r="BL418"/>
      <c r="BM418"/>
      <c r="BN418"/>
      <c r="BO418"/>
      <c r="BP418"/>
      <c r="BQ418"/>
      <c r="BR418"/>
      <c r="BS418"/>
      <c r="BT418"/>
      <c r="BU418"/>
      <c r="BV418"/>
      <c r="BW418"/>
      <c r="BX418"/>
      <c r="BY418"/>
      <c r="BZ418"/>
      <c r="CA418"/>
      <c r="CB418"/>
      <c r="CC418"/>
      <c r="CD418"/>
      <c r="CE418"/>
      <c r="CF418"/>
      <c r="CG418"/>
    </row>
    <row r="419" spans="2:85" ht="15">
      <c r="B419" s="30"/>
      <c r="C419" s="30"/>
      <c r="D419" s="30"/>
      <c r="E419" s="30"/>
      <c r="F419" s="30"/>
      <c r="G419" s="30"/>
      <c r="H419" s="30"/>
      <c r="I419" s="30"/>
      <c r="J419" s="30"/>
      <c r="K419" s="30"/>
      <c r="L419" s="30"/>
      <c r="M419" s="30"/>
      <c r="N419" s="30"/>
      <c r="O419" s="30"/>
      <c r="P419" s="30"/>
      <c r="Q419" s="30"/>
      <c r="R419" s="47"/>
      <c r="S419" s="48"/>
      <c r="T419" s="48"/>
      <c r="U419" s="48"/>
      <c r="V419" s="48"/>
      <c r="W419" s="48"/>
      <c r="X419" s="48"/>
      <c r="Y419" s="48"/>
      <c r="Z419" s="48"/>
      <c r="AA419" s="48"/>
      <c r="AE419" s="9"/>
      <c r="AF419" s="9"/>
      <c r="AG419" s="9"/>
      <c r="AH419" s="9"/>
      <c r="AI419" s="9"/>
      <c r="AJ419" s="60"/>
      <c r="AK419" s="9"/>
      <c r="AL419"/>
      <c r="AM419"/>
      <c r="AN419"/>
      <c r="AO419"/>
      <c r="AP419"/>
      <c r="AQ419"/>
      <c r="AR419"/>
      <c r="AS419"/>
      <c r="AT419"/>
      <c r="AU419"/>
      <c r="AV419"/>
      <c r="AW419"/>
      <c r="AX419"/>
      <c r="AY419"/>
      <c r="AZ419"/>
      <c r="BA419"/>
      <c r="BB419"/>
      <c r="BC419"/>
      <c r="BD419"/>
      <c r="BE419"/>
      <c r="BF419"/>
      <c r="BG419"/>
      <c r="BH419"/>
      <c r="BI419"/>
      <c r="BJ419"/>
      <c r="BK419"/>
      <c r="BL419"/>
      <c r="BM419"/>
      <c r="BN419"/>
      <c r="BO419"/>
      <c r="BP419"/>
      <c r="BQ419"/>
      <c r="BR419"/>
      <c r="BS419"/>
      <c r="BT419"/>
      <c r="BU419"/>
      <c r="BV419"/>
      <c r="BW419"/>
      <c r="BX419"/>
      <c r="BY419"/>
      <c r="BZ419"/>
      <c r="CA419"/>
      <c r="CB419"/>
      <c r="CC419"/>
      <c r="CD419"/>
      <c r="CE419"/>
      <c r="CF419"/>
      <c r="CG419"/>
    </row>
    <row r="420" spans="2:85" ht="15">
      <c r="B420" s="30"/>
      <c r="C420" s="30"/>
      <c r="D420" s="30"/>
      <c r="E420" s="30"/>
      <c r="F420" s="30"/>
      <c r="G420" s="30"/>
      <c r="H420" s="30"/>
      <c r="I420" s="30"/>
      <c r="J420" s="30"/>
      <c r="K420" s="30"/>
      <c r="L420" s="30"/>
      <c r="M420" s="30"/>
      <c r="N420" s="30"/>
      <c r="O420" s="30"/>
      <c r="P420" s="30"/>
      <c r="Q420" s="30"/>
      <c r="R420" s="47"/>
      <c r="S420" s="48"/>
      <c r="T420" s="48"/>
      <c r="U420" s="48"/>
      <c r="V420" s="48"/>
      <c r="W420" s="48"/>
      <c r="X420" s="48"/>
      <c r="Y420" s="48"/>
      <c r="Z420" s="48"/>
      <c r="AA420" s="48"/>
      <c r="AF420" s="9"/>
      <c r="AG420" s="9"/>
      <c r="AH420" s="9"/>
      <c r="AI420" s="9"/>
      <c r="AJ420" s="60"/>
      <c r="AK420" s="9"/>
      <c r="AL420"/>
      <c r="AM420"/>
      <c r="AN420"/>
      <c r="AO420"/>
      <c r="AP420"/>
      <c r="AQ420"/>
      <c r="AR420"/>
      <c r="AS420"/>
      <c r="AT420"/>
      <c r="AU420"/>
      <c r="AV420"/>
      <c r="AW420"/>
      <c r="AX420"/>
      <c r="AY420"/>
      <c r="AZ420"/>
      <c r="BA420"/>
      <c r="BB420"/>
      <c r="BC420"/>
      <c r="BD420"/>
      <c r="BE420"/>
      <c r="BF420"/>
      <c r="BG420"/>
      <c r="BH420"/>
      <c r="BI420"/>
      <c r="BJ420"/>
      <c r="BK420"/>
      <c r="BL420"/>
      <c r="BM420"/>
      <c r="BN420"/>
      <c r="BO420"/>
      <c r="BP420"/>
      <c r="BQ420"/>
      <c r="BR420"/>
      <c r="BS420"/>
      <c r="BT420"/>
      <c r="BU420"/>
      <c r="BV420"/>
      <c r="BW420"/>
      <c r="BX420"/>
      <c r="BY420"/>
      <c r="BZ420"/>
      <c r="CA420"/>
      <c r="CB420"/>
      <c r="CC420"/>
      <c r="CD420"/>
      <c r="CE420"/>
      <c r="CF420"/>
      <c r="CG420"/>
    </row>
    <row r="421" spans="2:85" ht="15">
      <c r="B421" s="30"/>
      <c r="C421" s="30"/>
      <c r="D421" s="30"/>
      <c r="E421" s="30"/>
      <c r="F421" s="30"/>
      <c r="G421" s="30"/>
      <c r="H421" s="30"/>
      <c r="I421" s="30"/>
      <c r="J421" s="30"/>
      <c r="K421" s="30"/>
      <c r="L421" s="30"/>
      <c r="M421" s="30"/>
      <c r="N421" s="30"/>
      <c r="O421" s="30"/>
      <c r="P421" s="30"/>
      <c r="Q421" s="30"/>
      <c r="R421" s="47"/>
      <c r="S421" s="48"/>
      <c r="T421" s="48"/>
      <c r="U421" s="48"/>
      <c r="V421" s="48"/>
      <c r="W421" s="48"/>
      <c r="X421" s="48"/>
      <c r="Y421" s="48"/>
      <c r="Z421" s="48"/>
      <c r="AA421" s="48"/>
      <c r="AF421" s="9"/>
      <c r="AG421" s="9"/>
      <c r="AH421" s="9"/>
      <c r="AI421" s="9"/>
      <c r="AJ421" s="60"/>
      <c r="AK421" s="9"/>
      <c r="AL421"/>
      <c r="AM421"/>
      <c r="AN421"/>
      <c r="AO421"/>
      <c r="AP421"/>
      <c r="AQ421"/>
      <c r="AR421"/>
      <c r="AS421"/>
      <c r="AT421"/>
      <c r="AU421"/>
      <c r="AV421"/>
      <c r="AW421"/>
      <c r="AX421"/>
      <c r="AY421"/>
      <c r="AZ421"/>
      <c r="BA421"/>
      <c r="BB421"/>
      <c r="BC421"/>
      <c r="BD421"/>
      <c r="BE421"/>
      <c r="BF421"/>
      <c r="BG421"/>
      <c r="BH421"/>
      <c r="BI421"/>
      <c r="BJ421"/>
      <c r="BK421"/>
      <c r="BL421"/>
      <c r="BM421"/>
      <c r="BN421"/>
      <c r="BO421"/>
      <c r="BP421"/>
      <c r="BQ421"/>
      <c r="BR421"/>
      <c r="BS421"/>
      <c r="BT421"/>
      <c r="BU421"/>
      <c r="BV421"/>
      <c r="BW421"/>
      <c r="BX421"/>
      <c r="BY421"/>
      <c r="BZ421"/>
      <c r="CA421"/>
      <c r="CB421"/>
      <c r="CC421"/>
      <c r="CD421"/>
      <c r="CE421"/>
      <c r="CF421"/>
      <c r="CG421"/>
    </row>
    <row r="422" spans="2:85" ht="15">
      <c r="B422" s="30"/>
      <c r="C422" s="30"/>
      <c r="D422" s="30"/>
      <c r="E422" s="30"/>
      <c r="F422" s="30"/>
      <c r="G422" s="30"/>
      <c r="H422" s="30"/>
      <c r="I422" s="30"/>
      <c r="J422" s="30"/>
      <c r="K422" s="30"/>
      <c r="L422" s="30"/>
      <c r="M422" s="30"/>
      <c r="N422" s="30"/>
      <c r="O422" s="30"/>
      <c r="P422" s="30"/>
      <c r="Q422" s="30"/>
      <c r="R422" s="47"/>
      <c r="S422" s="48"/>
      <c r="T422" s="48"/>
      <c r="U422" s="48"/>
      <c r="V422" s="48"/>
      <c r="W422" s="48"/>
      <c r="X422" s="48"/>
      <c r="Y422" s="48"/>
      <c r="Z422" s="48"/>
      <c r="AA422" s="48"/>
      <c r="AK422" s="9"/>
      <c r="AL422"/>
      <c r="AM422"/>
      <c r="AN422"/>
      <c r="AO422"/>
      <c r="AP422"/>
      <c r="AQ422"/>
      <c r="AR422"/>
      <c r="AS422"/>
      <c r="AT422"/>
      <c r="AU422"/>
      <c r="AV422"/>
      <c r="AW422"/>
      <c r="AX422"/>
      <c r="AY422"/>
      <c r="AZ422"/>
      <c r="BA422"/>
      <c r="BB422"/>
      <c r="BC422"/>
      <c r="BD422"/>
      <c r="BE422"/>
      <c r="BF422"/>
      <c r="BG422"/>
      <c r="BH422"/>
      <c r="BI422"/>
      <c r="BJ422"/>
      <c r="BK422"/>
      <c r="BL422"/>
      <c r="BM422"/>
      <c r="BN422"/>
      <c r="BO422"/>
      <c r="BP422"/>
      <c r="BQ422"/>
      <c r="BR422"/>
      <c r="BS422"/>
      <c r="BT422"/>
      <c r="BU422"/>
      <c r="BV422"/>
      <c r="BW422"/>
      <c r="BX422"/>
      <c r="BY422"/>
      <c r="BZ422"/>
      <c r="CA422"/>
      <c r="CB422"/>
      <c r="CC422"/>
      <c r="CD422"/>
      <c r="CE422"/>
      <c r="CF422"/>
      <c r="CG422"/>
    </row>
    <row r="423" spans="2:85" ht="15">
      <c r="B423" s="30"/>
      <c r="C423" s="30"/>
      <c r="D423" s="30"/>
      <c r="E423" s="30"/>
      <c r="F423" s="30"/>
      <c r="G423" s="30"/>
      <c r="H423" s="30"/>
      <c r="I423" s="30"/>
      <c r="J423" s="30"/>
      <c r="K423" s="30"/>
      <c r="L423" s="30"/>
      <c r="M423" s="30"/>
      <c r="N423" s="30"/>
      <c r="O423" s="30"/>
      <c r="P423" s="30"/>
      <c r="Q423" s="30"/>
      <c r="R423" s="47"/>
      <c r="V423" s="48"/>
      <c r="W423" s="48"/>
      <c r="X423" s="48"/>
      <c r="AK423" s="9"/>
      <c r="AL423"/>
      <c r="AM423"/>
      <c r="AN423"/>
      <c r="AO423"/>
      <c r="AP423"/>
      <c r="AQ423"/>
      <c r="AR423"/>
      <c r="AS423"/>
      <c r="AT423"/>
      <c r="AU423"/>
      <c r="AV423"/>
      <c r="AW423"/>
      <c r="AX423"/>
      <c r="AY423"/>
      <c r="AZ423"/>
      <c r="BA423"/>
      <c r="BB423"/>
      <c r="BC423"/>
      <c r="BD423"/>
      <c r="BE423"/>
      <c r="BF423"/>
      <c r="BG423"/>
      <c r="BH423"/>
      <c r="BI423"/>
      <c r="BJ423"/>
      <c r="BK423"/>
      <c r="BL423"/>
      <c r="BM423"/>
      <c r="BN423"/>
      <c r="BO423"/>
      <c r="BP423"/>
      <c r="BQ423"/>
      <c r="BR423"/>
      <c r="BS423"/>
      <c r="BT423"/>
      <c r="BU423"/>
      <c r="BV423"/>
      <c r="BW423"/>
      <c r="BX423"/>
      <c r="BY423"/>
      <c r="BZ423"/>
      <c r="CA423"/>
      <c r="CB423"/>
      <c r="CC423"/>
      <c r="CD423"/>
      <c r="CE423"/>
      <c r="CF423"/>
      <c r="CG423"/>
    </row>
    <row r="424" spans="2:85" ht="15">
      <c r="B424" s="30"/>
      <c r="C424" s="30"/>
      <c r="D424" s="30"/>
      <c r="E424" s="30"/>
      <c r="F424" s="30"/>
      <c r="G424" s="30"/>
      <c r="H424" s="30"/>
      <c r="I424" s="30"/>
      <c r="J424" s="30"/>
      <c r="K424" s="30"/>
      <c r="L424" s="30"/>
      <c r="M424" s="30"/>
      <c r="N424" s="30"/>
      <c r="O424" s="30"/>
      <c r="P424" s="30"/>
      <c r="Q424" s="30"/>
      <c r="R424" s="47"/>
      <c r="AK424" s="9"/>
      <c r="AL424"/>
      <c r="AM424"/>
      <c r="AN424"/>
      <c r="AO424"/>
      <c r="AP424"/>
      <c r="AQ424"/>
      <c r="AR424"/>
      <c r="AS424"/>
      <c r="AT424"/>
      <c r="AU424"/>
      <c r="AV424"/>
      <c r="AW424"/>
      <c r="AX424"/>
      <c r="AY424"/>
      <c r="AZ424"/>
      <c r="BA424"/>
      <c r="BB424"/>
      <c r="BC424"/>
      <c r="BD424"/>
      <c r="BE424"/>
      <c r="BF424"/>
      <c r="BG424"/>
      <c r="BH424"/>
      <c r="BI424"/>
      <c r="BJ424"/>
      <c r="BK424"/>
      <c r="BL424"/>
      <c r="BM424"/>
      <c r="BN424"/>
      <c r="BO424"/>
      <c r="BP424"/>
      <c r="BQ424"/>
      <c r="BR424"/>
      <c r="BS424"/>
      <c r="BT424"/>
      <c r="BU424"/>
      <c r="BV424"/>
      <c r="BW424"/>
      <c r="BX424"/>
      <c r="BY424"/>
      <c r="BZ424"/>
      <c r="CA424"/>
      <c r="CB424"/>
      <c r="CC424"/>
      <c r="CD424"/>
      <c r="CE424"/>
      <c r="CF424"/>
      <c r="CG424"/>
    </row>
    <row r="425" spans="2:85" ht="15">
      <c r="B425" s="30"/>
      <c r="C425" s="30"/>
      <c r="D425" s="30"/>
      <c r="E425" s="30"/>
      <c r="F425" s="30"/>
      <c r="G425" s="30"/>
      <c r="H425" s="30"/>
      <c r="I425" s="30"/>
      <c r="J425" s="30"/>
      <c r="K425" s="30"/>
      <c r="L425" s="30"/>
      <c r="M425" s="30"/>
      <c r="N425" s="30"/>
      <c r="O425" s="30"/>
      <c r="P425" s="30"/>
      <c r="Q425" s="30"/>
      <c r="R425" s="47"/>
      <c r="AL425"/>
      <c r="AM425"/>
      <c r="AN425"/>
      <c r="AO425"/>
      <c r="AP425"/>
      <c r="AQ425"/>
      <c r="AR425"/>
      <c r="AS425"/>
      <c r="AT425"/>
      <c r="AU425"/>
      <c r="AV425"/>
      <c r="AW425"/>
      <c r="AX425"/>
      <c r="AY425"/>
      <c r="AZ425"/>
      <c r="BA425"/>
      <c r="BB425"/>
      <c r="BC425"/>
      <c r="BD425"/>
      <c r="BE425"/>
      <c r="BF425"/>
      <c r="BG425"/>
      <c r="BH425"/>
      <c r="BI425"/>
      <c r="BJ425"/>
      <c r="BK425"/>
      <c r="BL425"/>
      <c r="BM425"/>
      <c r="BN425"/>
      <c r="BO425"/>
      <c r="BP425"/>
      <c r="BQ425"/>
      <c r="BR425"/>
      <c r="BS425"/>
      <c r="BT425"/>
      <c r="BU425"/>
      <c r="BV425"/>
      <c r="BW425"/>
      <c r="BX425"/>
      <c r="BY425"/>
      <c r="BZ425"/>
      <c r="CA425"/>
      <c r="CB425"/>
      <c r="CC425"/>
      <c r="CD425"/>
      <c r="CE425"/>
      <c r="CF425"/>
      <c r="CG425"/>
    </row>
    <row r="426" spans="2:85" ht="15">
      <c r="B426" s="30"/>
      <c r="C426" s="30"/>
      <c r="D426" s="30"/>
      <c r="E426" s="30"/>
      <c r="F426" s="30"/>
      <c r="G426" s="30"/>
      <c r="H426" s="30"/>
      <c r="I426" s="30"/>
      <c r="J426" s="30"/>
      <c r="K426" s="30"/>
      <c r="L426" s="30"/>
      <c r="M426" s="30"/>
      <c r="N426" s="30"/>
      <c r="O426" s="30"/>
      <c r="P426" s="30"/>
      <c r="Q426" s="30"/>
      <c r="R426" s="47"/>
      <c r="AL426"/>
      <c r="AM426"/>
      <c r="AN426"/>
      <c r="AO426"/>
      <c r="AP426"/>
      <c r="AQ426"/>
      <c r="AR426"/>
      <c r="AS426"/>
      <c r="AT426"/>
      <c r="AU426"/>
      <c r="AV426"/>
      <c r="AW426"/>
      <c r="AX426"/>
      <c r="AY426"/>
      <c r="AZ426"/>
      <c r="BA426"/>
      <c r="BB426"/>
      <c r="BC426"/>
      <c r="BD426"/>
      <c r="BE426"/>
      <c r="BF426"/>
      <c r="BG426"/>
      <c r="BH426"/>
      <c r="BI426"/>
      <c r="BJ426"/>
      <c r="BK426"/>
      <c r="BL426"/>
      <c r="BM426"/>
      <c r="BN426"/>
      <c r="BO426"/>
      <c r="BP426"/>
      <c r="BQ426"/>
      <c r="BR426"/>
      <c r="BS426"/>
      <c r="BT426"/>
      <c r="BU426"/>
      <c r="BV426"/>
      <c r="BW426"/>
      <c r="BX426"/>
      <c r="BY426"/>
      <c r="BZ426"/>
      <c r="CA426"/>
      <c r="CB426"/>
      <c r="CC426"/>
      <c r="CD426"/>
      <c r="CE426"/>
      <c r="CF426"/>
      <c r="CG426"/>
    </row>
    <row r="427" spans="2:85" ht="15">
      <c r="B427" s="30"/>
      <c r="C427" s="30"/>
      <c r="D427" s="30"/>
      <c r="E427" s="30"/>
      <c r="F427" s="30"/>
      <c r="G427" s="30"/>
      <c r="H427" s="30"/>
      <c r="I427" s="30"/>
      <c r="J427" s="30"/>
      <c r="K427" s="30"/>
      <c r="L427" s="30"/>
      <c r="M427" s="30"/>
      <c r="N427" s="30"/>
      <c r="O427" s="30"/>
      <c r="P427" s="30"/>
      <c r="Q427" s="30"/>
      <c r="R427" s="47"/>
      <c r="AL427"/>
      <c r="AM427"/>
      <c r="AN427"/>
      <c r="AO427"/>
      <c r="AP427"/>
      <c r="AQ427"/>
      <c r="AR427"/>
      <c r="AS427"/>
      <c r="AT427"/>
      <c r="AU427"/>
      <c r="AV427"/>
      <c r="AW427"/>
      <c r="AX427"/>
      <c r="AY427"/>
      <c r="AZ427"/>
      <c r="BA427"/>
      <c r="BB427"/>
      <c r="BC427"/>
      <c r="BD427"/>
      <c r="BE427"/>
      <c r="BF427"/>
      <c r="BG427"/>
      <c r="BH427"/>
      <c r="BI427"/>
      <c r="BJ427"/>
      <c r="BK427"/>
      <c r="BL427"/>
      <c r="BM427"/>
      <c r="BN427"/>
      <c r="BO427"/>
      <c r="BP427"/>
      <c r="BQ427"/>
      <c r="BR427"/>
      <c r="BS427"/>
      <c r="BT427"/>
      <c r="BU427"/>
      <c r="BV427"/>
      <c r="BW427"/>
      <c r="BX427"/>
      <c r="BY427"/>
      <c r="BZ427"/>
      <c r="CA427"/>
      <c r="CB427"/>
      <c r="CC427"/>
      <c r="CD427"/>
      <c r="CE427"/>
      <c r="CF427"/>
      <c r="CG427"/>
    </row>
    <row r="428" spans="2:85" ht="15">
      <c r="B428" s="30"/>
      <c r="C428" s="30"/>
      <c r="D428" s="30"/>
      <c r="E428" s="30"/>
      <c r="F428" s="30"/>
      <c r="G428" s="30"/>
      <c r="H428" s="30"/>
      <c r="I428" s="30"/>
      <c r="J428" s="30"/>
      <c r="K428" s="30"/>
      <c r="L428" s="30"/>
      <c r="M428" s="30"/>
      <c r="N428" s="30"/>
      <c r="O428" s="30"/>
      <c r="P428" s="30"/>
      <c r="Q428" s="30"/>
      <c r="R428" s="47"/>
      <c r="AL428"/>
      <c r="AM428"/>
      <c r="AN428"/>
      <c r="AO428"/>
      <c r="AP428"/>
      <c r="AQ428"/>
      <c r="AR428"/>
      <c r="AS428"/>
      <c r="AT428"/>
      <c r="AU428"/>
      <c r="AV428"/>
      <c r="AW428"/>
      <c r="AX428"/>
      <c r="AY428"/>
      <c r="AZ428"/>
      <c r="BA428"/>
      <c r="BB428"/>
      <c r="BC428"/>
      <c r="BD428"/>
      <c r="BE428"/>
      <c r="BF428"/>
      <c r="BG428"/>
      <c r="BH428"/>
      <c r="BI428"/>
      <c r="BJ428"/>
      <c r="BK428"/>
      <c r="BL428"/>
      <c r="BM428"/>
      <c r="BN428"/>
      <c r="BO428"/>
      <c r="BP428"/>
      <c r="BQ428"/>
      <c r="BR428"/>
      <c r="BS428"/>
      <c r="BT428"/>
      <c r="BU428"/>
      <c r="BV428"/>
      <c r="BW428"/>
      <c r="BX428"/>
      <c r="BY428"/>
      <c r="BZ428"/>
      <c r="CA428"/>
      <c r="CB428"/>
      <c r="CC428"/>
      <c r="CD428"/>
      <c r="CE428"/>
      <c r="CF428"/>
      <c r="CG428"/>
    </row>
    <row r="429" spans="2:85" ht="15">
      <c r="B429" s="30"/>
      <c r="C429" s="30"/>
      <c r="D429" s="30"/>
      <c r="E429" s="30"/>
      <c r="F429" s="30"/>
      <c r="G429" s="30"/>
      <c r="H429" s="30"/>
      <c r="I429" s="30"/>
      <c r="J429" s="30"/>
      <c r="K429" s="30"/>
      <c r="L429" s="30"/>
      <c r="M429" s="30"/>
      <c r="N429" s="30"/>
      <c r="O429" s="30"/>
      <c r="P429" s="30"/>
      <c r="Q429" s="30"/>
      <c r="R429" s="47"/>
      <c r="AL429"/>
      <c r="AM429"/>
      <c r="AN429"/>
      <c r="AO429"/>
      <c r="AP429"/>
      <c r="AQ429"/>
      <c r="AR429"/>
      <c r="AS429"/>
      <c r="AT429"/>
      <c r="AU429"/>
      <c r="AV429"/>
      <c r="AW429"/>
      <c r="AX429"/>
      <c r="AY429"/>
      <c r="AZ429"/>
      <c r="BA429"/>
      <c r="BB429"/>
      <c r="BC429"/>
      <c r="BD429"/>
      <c r="BE429"/>
      <c r="BF429"/>
      <c r="BG429"/>
      <c r="BH429"/>
      <c r="BI429"/>
      <c r="BJ429"/>
      <c r="BK429"/>
      <c r="BL429"/>
      <c r="BM429"/>
      <c r="BN429"/>
      <c r="BO429"/>
      <c r="BP429"/>
      <c r="BQ429"/>
      <c r="BR429"/>
      <c r="BS429"/>
      <c r="BT429"/>
      <c r="BU429"/>
      <c r="BV429"/>
      <c r="BW429"/>
      <c r="BX429"/>
      <c r="BY429"/>
      <c r="BZ429"/>
      <c r="CA429"/>
      <c r="CB429"/>
      <c r="CC429"/>
      <c r="CD429"/>
      <c r="CE429"/>
      <c r="CF429"/>
      <c r="CG429"/>
    </row>
    <row r="430" spans="2:85" ht="15">
      <c r="B430" s="30"/>
      <c r="C430" s="30"/>
      <c r="D430" s="30"/>
      <c r="E430" s="30"/>
      <c r="F430" s="30"/>
      <c r="G430" s="30"/>
      <c r="H430" s="30"/>
      <c r="I430" s="30"/>
      <c r="J430" s="30"/>
      <c r="K430" s="30"/>
      <c r="L430" s="30"/>
      <c r="M430" s="30"/>
      <c r="N430" s="30"/>
      <c r="O430" s="30"/>
      <c r="P430" s="30"/>
      <c r="Q430" s="30"/>
      <c r="R430" s="47"/>
      <c r="AL430"/>
      <c r="AM430"/>
      <c r="AN430"/>
      <c r="AO430"/>
      <c r="AP430"/>
      <c r="AQ430"/>
      <c r="AR430"/>
      <c r="AS430"/>
      <c r="AT430"/>
      <c r="AU430"/>
      <c r="AV430"/>
      <c r="AW430"/>
      <c r="AX430"/>
      <c r="AY430"/>
      <c r="AZ430"/>
      <c r="BA430"/>
      <c r="BB430"/>
      <c r="BC430"/>
      <c r="BD430"/>
      <c r="BE430"/>
      <c r="BF430"/>
      <c r="BG430"/>
      <c r="BH430"/>
      <c r="BI430"/>
      <c r="BJ430"/>
      <c r="BK430"/>
      <c r="BL430"/>
      <c r="BM430"/>
      <c r="BN430"/>
      <c r="BO430"/>
      <c r="BP430"/>
      <c r="BQ430"/>
      <c r="BR430"/>
      <c r="BS430"/>
      <c r="BT430"/>
      <c r="BU430"/>
      <c r="BV430"/>
      <c r="BW430"/>
      <c r="BX430"/>
      <c r="BY430"/>
      <c r="BZ430"/>
      <c r="CA430"/>
      <c r="CB430"/>
      <c r="CC430"/>
      <c r="CD430"/>
      <c r="CE430"/>
      <c r="CF430"/>
      <c r="CG430"/>
    </row>
    <row r="431" spans="2:85" ht="15">
      <c r="B431" s="9"/>
      <c r="C431" s="9"/>
      <c r="D431" s="3"/>
      <c r="E431" s="3"/>
      <c r="F431" s="3"/>
      <c r="G431" s="3"/>
      <c r="H431" s="3"/>
      <c r="I431" s="3"/>
      <c r="J431" s="9"/>
      <c r="K431" s="9"/>
      <c r="L431" s="9"/>
      <c r="M431" s="9"/>
      <c r="N431" s="9"/>
      <c r="O431" s="9"/>
      <c r="P431" s="30"/>
      <c r="Q431" s="30"/>
      <c r="R431" s="47"/>
      <c r="AL431"/>
      <c r="AM431"/>
      <c r="AN431"/>
      <c r="AO431"/>
      <c r="AP431"/>
      <c r="AQ431"/>
      <c r="AR431"/>
      <c r="AS431"/>
      <c r="AT431"/>
      <c r="AU431"/>
      <c r="AV431"/>
      <c r="AW431"/>
      <c r="AX431"/>
      <c r="AY431"/>
      <c r="AZ431"/>
      <c r="BA431"/>
      <c r="BB431"/>
      <c r="BC431"/>
      <c r="BD431"/>
      <c r="BE431"/>
      <c r="BF431"/>
      <c r="BG431"/>
      <c r="BH431"/>
      <c r="BI431"/>
      <c r="BJ431"/>
      <c r="BK431"/>
      <c r="BL431"/>
      <c r="BM431"/>
      <c r="BN431"/>
      <c r="BO431"/>
      <c r="BP431"/>
      <c r="BQ431"/>
      <c r="BR431"/>
      <c r="BS431"/>
      <c r="BT431"/>
      <c r="BU431"/>
      <c r="BV431"/>
      <c r="BW431"/>
      <c r="BX431"/>
      <c r="BY431"/>
      <c r="BZ431"/>
      <c r="CA431"/>
      <c r="CB431"/>
      <c r="CC431"/>
      <c r="CD431"/>
      <c r="CE431"/>
      <c r="CF431"/>
      <c r="CG431"/>
    </row>
    <row r="432" spans="2:85" ht="15">
      <c r="B432" s="9"/>
      <c r="C432" s="9"/>
      <c r="D432" s="3"/>
      <c r="E432" s="3"/>
      <c r="F432" s="3"/>
      <c r="G432" s="3"/>
      <c r="H432" s="3"/>
      <c r="I432" s="3"/>
      <c r="J432" s="9"/>
      <c r="K432" s="9"/>
      <c r="L432" s="9"/>
      <c r="M432" s="9"/>
      <c r="N432" s="9"/>
      <c r="O432" s="9"/>
      <c r="P432" s="9"/>
      <c r="Q432" s="9"/>
      <c r="R432" s="48"/>
      <c r="AL432"/>
      <c r="AM432"/>
      <c r="AN432"/>
      <c r="AO432"/>
      <c r="AP432"/>
      <c r="AQ432"/>
      <c r="AR432"/>
      <c r="AS432"/>
      <c r="AT432"/>
      <c r="AU432"/>
      <c r="AV432"/>
      <c r="AW432"/>
      <c r="AX432"/>
      <c r="AY432"/>
      <c r="AZ432"/>
      <c r="BA432"/>
      <c r="BB432"/>
      <c r="BC432"/>
      <c r="BD432"/>
      <c r="BE432"/>
      <c r="BF432"/>
      <c r="BG432"/>
      <c r="BH432"/>
      <c r="BI432"/>
      <c r="BJ432"/>
      <c r="BK432"/>
      <c r="BL432"/>
      <c r="BM432"/>
      <c r="BN432"/>
      <c r="BO432"/>
      <c r="BP432"/>
      <c r="BQ432"/>
      <c r="BR432"/>
      <c r="BS432"/>
      <c r="BT432"/>
      <c r="BU432"/>
      <c r="BV432"/>
      <c r="BW432"/>
      <c r="BX432"/>
      <c r="BY432"/>
      <c r="BZ432"/>
      <c r="CA432"/>
      <c r="CB432"/>
      <c r="CC432"/>
      <c r="CD432"/>
      <c r="CE432"/>
      <c r="CF432"/>
      <c r="CG432"/>
    </row>
    <row r="433" spans="2:85" ht="15">
      <c r="B433" s="9"/>
      <c r="C433" s="9"/>
      <c r="D433" s="3"/>
      <c r="E433" s="3"/>
      <c r="F433" s="3"/>
      <c r="G433" s="3"/>
      <c r="H433" s="3"/>
      <c r="I433" s="3"/>
      <c r="J433" s="9"/>
      <c r="K433" s="9"/>
      <c r="L433" s="9"/>
      <c r="M433" s="9"/>
      <c r="N433" s="9"/>
      <c r="O433" s="9"/>
      <c r="P433" s="9"/>
      <c r="Q433" s="9"/>
      <c r="R433" s="48"/>
      <c r="AL433"/>
      <c r="AM433"/>
      <c r="AN433"/>
      <c r="AO433"/>
      <c r="AP433"/>
      <c r="AQ433"/>
      <c r="AR433"/>
      <c r="AS433"/>
      <c r="AT433"/>
      <c r="AU433"/>
      <c r="AV433"/>
      <c r="AW433"/>
      <c r="AX433"/>
      <c r="AY433"/>
      <c r="AZ433"/>
      <c r="BA433"/>
      <c r="BB433"/>
      <c r="BC433"/>
      <c r="BD433"/>
      <c r="BE433"/>
      <c r="BF433"/>
      <c r="BG433"/>
      <c r="BH433"/>
      <c r="BI433"/>
      <c r="BJ433"/>
      <c r="BK433"/>
      <c r="BL433"/>
      <c r="BM433"/>
      <c r="BN433"/>
      <c r="BO433"/>
      <c r="BP433"/>
      <c r="BQ433"/>
      <c r="BR433"/>
      <c r="BS433"/>
      <c r="BT433"/>
      <c r="BU433"/>
      <c r="BV433"/>
      <c r="BW433"/>
      <c r="BX433"/>
      <c r="BY433"/>
      <c r="BZ433"/>
      <c r="CA433"/>
      <c r="CB433"/>
      <c r="CC433"/>
      <c r="CD433"/>
      <c r="CE433"/>
      <c r="CF433"/>
      <c r="CG433"/>
    </row>
    <row r="434" spans="2:85" ht="15">
      <c r="B434" s="9"/>
      <c r="C434" s="9"/>
      <c r="D434" s="3"/>
      <c r="E434" s="3"/>
      <c r="F434" s="3"/>
      <c r="G434" s="3"/>
      <c r="H434" s="3"/>
      <c r="I434" s="3"/>
      <c r="J434" s="9"/>
      <c r="K434" s="9"/>
      <c r="L434" s="9"/>
      <c r="M434" s="9"/>
      <c r="N434" s="9"/>
      <c r="O434" s="9"/>
      <c r="P434" s="9"/>
      <c r="Q434" s="9"/>
      <c r="R434" s="48"/>
      <c r="AL434"/>
      <c r="AM434"/>
      <c r="AN434"/>
      <c r="AO434"/>
      <c r="AP434"/>
      <c r="AQ434"/>
      <c r="AR434"/>
      <c r="AS434"/>
      <c r="AT434"/>
      <c r="AU434"/>
      <c r="AV434"/>
      <c r="AW434"/>
      <c r="AX434"/>
      <c r="AY434"/>
      <c r="AZ434"/>
      <c r="BA434"/>
      <c r="BB434"/>
      <c r="BC434"/>
      <c r="BD434"/>
      <c r="BE434"/>
      <c r="BF434"/>
      <c r="BG434"/>
      <c r="BH434"/>
      <c r="BI434"/>
      <c r="BJ434"/>
      <c r="BK434"/>
      <c r="BL434"/>
      <c r="BM434"/>
      <c r="BN434"/>
      <c r="BO434"/>
      <c r="BP434"/>
      <c r="BQ434"/>
      <c r="BR434"/>
      <c r="BS434"/>
      <c r="BT434"/>
      <c r="BU434"/>
      <c r="BV434"/>
      <c r="BW434"/>
      <c r="BX434"/>
      <c r="BY434"/>
      <c r="BZ434"/>
      <c r="CA434"/>
      <c r="CB434"/>
      <c r="CC434"/>
      <c r="CD434"/>
      <c r="CE434"/>
      <c r="CF434"/>
      <c r="CG434"/>
    </row>
    <row r="435" spans="2:85" ht="15">
      <c r="B435" s="9"/>
      <c r="C435" s="9"/>
      <c r="D435" s="3"/>
      <c r="E435" s="3"/>
      <c r="F435" s="3"/>
      <c r="G435" s="3"/>
      <c r="H435" s="3"/>
      <c r="I435" s="3"/>
      <c r="J435" s="9"/>
      <c r="K435" s="9"/>
      <c r="L435" s="9"/>
      <c r="M435" s="9"/>
      <c r="N435" s="9"/>
      <c r="O435" s="9"/>
      <c r="P435" s="9"/>
      <c r="Q435" s="9"/>
      <c r="R435" s="48"/>
      <c r="AL435"/>
      <c r="AM435"/>
      <c r="AN435"/>
      <c r="AO435"/>
      <c r="AP435"/>
      <c r="AQ435"/>
      <c r="AR435"/>
      <c r="AS435"/>
      <c r="AT435"/>
      <c r="AU435"/>
      <c r="AV435"/>
      <c r="AW435"/>
      <c r="AX435"/>
      <c r="AY435"/>
      <c r="AZ435"/>
      <c r="BA435"/>
      <c r="BB435"/>
      <c r="BC435"/>
      <c r="BD435"/>
      <c r="BE435"/>
      <c r="BF435"/>
      <c r="BG435"/>
      <c r="BH435"/>
      <c r="BI435"/>
      <c r="BJ435"/>
      <c r="BK435"/>
      <c r="BL435"/>
      <c r="BM435"/>
      <c r="BN435"/>
      <c r="BO435"/>
      <c r="BP435"/>
      <c r="BQ435"/>
      <c r="BR435"/>
      <c r="BS435"/>
      <c r="BT435"/>
      <c r="BU435"/>
      <c r="BV435"/>
      <c r="BW435"/>
      <c r="BX435"/>
      <c r="BY435"/>
      <c r="BZ435"/>
      <c r="CA435"/>
      <c r="CB435"/>
      <c r="CC435"/>
      <c r="CD435"/>
      <c r="CE435"/>
      <c r="CF435"/>
      <c r="CG435"/>
    </row>
    <row r="436" spans="2:85" ht="15">
      <c r="B436" s="9"/>
      <c r="C436" s="9"/>
      <c r="D436" s="3"/>
      <c r="E436" s="3"/>
      <c r="F436" s="3"/>
      <c r="G436" s="3"/>
      <c r="H436" s="3"/>
      <c r="I436" s="3"/>
      <c r="J436" s="9"/>
      <c r="K436" s="9"/>
      <c r="L436" s="9"/>
      <c r="M436" s="9"/>
      <c r="N436" s="9"/>
      <c r="O436" s="9"/>
      <c r="P436" s="9"/>
      <c r="Q436" s="9"/>
      <c r="R436" s="48"/>
      <c r="AL436"/>
      <c r="AM436"/>
      <c r="AN436"/>
      <c r="AO436"/>
      <c r="AP436"/>
      <c r="AQ436"/>
      <c r="AR436"/>
      <c r="AS436"/>
      <c r="AT436"/>
      <c r="AU436"/>
      <c r="AV436"/>
      <c r="AW436"/>
      <c r="AX436"/>
      <c r="AY436"/>
      <c r="AZ436"/>
      <c r="BA436"/>
      <c r="BB436"/>
      <c r="BC436"/>
      <c r="BD436"/>
      <c r="BE436"/>
      <c r="BF436"/>
      <c r="BG436"/>
      <c r="BH436"/>
      <c r="BI436"/>
      <c r="BJ436"/>
      <c r="BK436"/>
      <c r="BL436"/>
      <c r="BM436"/>
      <c r="BN436"/>
      <c r="BO436"/>
      <c r="BP436"/>
      <c r="BQ436"/>
      <c r="BR436"/>
      <c r="BS436"/>
      <c r="BT436"/>
      <c r="BU436"/>
      <c r="BV436"/>
      <c r="BW436"/>
      <c r="BX436"/>
      <c r="BY436"/>
      <c r="BZ436"/>
      <c r="CA436"/>
      <c r="CB436"/>
      <c r="CC436"/>
      <c r="CD436"/>
      <c r="CE436"/>
      <c r="CF436"/>
      <c r="CG436"/>
    </row>
    <row r="437" spans="2:85" ht="15">
      <c r="B437" s="9"/>
      <c r="C437" s="9"/>
      <c r="D437" s="3"/>
      <c r="E437" s="3"/>
      <c r="F437" s="3"/>
      <c r="G437" s="3"/>
      <c r="H437" s="3"/>
      <c r="I437" s="3"/>
      <c r="J437" s="9"/>
      <c r="K437" s="9"/>
      <c r="L437" s="9"/>
      <c r="M437" s="9"/>
      <c r="N437" s="9"/>
      <c r="O437" s="9"/>
      <c r="P437" s="9"/>
      <c r="Q437" s="9"/>
      <c r="R437" s="48"/>
      <c r="AL437"/>
      <c r="AM437"/>
      <c r="AN437"/>
      <c r="AO437"/>
      <c r="AP437"/>
      <c r="AQ437"/>
      <c r="AR437"/>
      <c r="AS437"/>
      <c r="AT437"/>
      <c r="AU437"/>
      <c r="AV437"/>
      <c r="AW437"/>
      <c r="AX437"/>
      <c r="AY437"/>
      <c r="AZ437"/>
      <c r="BA437"/>
      <c r="BB437"/>
      <c r="BC437"/>
      <c r="BD437"/>
      <c r="BE437"/>
      <c r="BF437"/>
      <c r="BG437"/>
      <c r="BH437"/>
      <c r="BI437"/>
      <c r="BJ437"/>
      <c r="BK437"/>
      <c r="BL437"/>
      <c r="BM437"/>
      <c r="BN437"/>
      <c r="BO437"/>
      <c r="BP437"/>
      <c r="BQ437"/>
      <c r="BR437"/>
      <c r="BS437"/>
      <c r="BT437"/>
      <c r="BU437"/>
      <c r="BV437"/>
      <c r="BW437"/>
      <c r="BX437"/>
      <c r="BY437"/>
      <c r="BZ437"/>
      <c r="CA437"/>
      <c r="CB437"/>
      <c r="CC437"/>
      <c r="CD437"/>
      <c r="CE437"/>
      <c r="CF437"/>
      <c r="CG437"/>
    </row>
    <row r="438" spans="2:85" ht="15">
      <c r="B438" s="9"/>
      <c r="C438" s="9"/>
      <c r="D438" s="3"/>
      <c r="E438" s="3"/>
      <c r="F438" s="3"/>
      <c r="G438" s="3"/>
      <c r="H438" s="3"/>
      <c r="I438" s="3"/>
      <c r="J438" s="9"/>
      <c r="K438" s="9"/>
      <c r="L438" s="9"/>
      <c r="M438" s="9"/>
      <c r="N438" s="9"/>
      <c r="O438" s="9"/>
      <c r="P438" s="9"/>
      <c r="Q438" s="9"/>
      <c r="R438" s="48"/>
      <c r="S438"/>
      <c r="T438"/>
      <c r="U438"/>
      <c r="V438"/>
      <c r="W438"/>
      <c r="X438"/>
      <c r="Y438"/>
      <c r="Z438"/>
      <c r="AA438"/>
      <c r="AJ438"/>
      <c r="AL438"/>
      <c r="AM438"/>
      <c r="AN438"/>
      <c r="AO438"/>
      <c r="AP438"/>
      <c r="AQ438"/>
      <c r="AR438"/>
      <c r="AS438"/>
      <c r="AT438"/>
      <c r="AU438"/>
      <c r="AV438"/>
      <c r="AW438"/>
      <c r="AX438"/>
      <c r="AY438"/>
      <c r="AZ438"/>
      <c r="BA438"/>
      <c r="BB438"/>
      <c r="BC438"/>
      <c r="BD438"/>
      <c r="BE438"/>
      <c r="BF438"/>
      <c r="BG438"/>
      <c r="BH438"/>
      <c r="BI438"/>
      <c r="BJ438"/>
      <c r="BK438"/>
      <c r="BL438"/>
      <c r="BM438"/>
      <c r="BN438"/>
      <c r="BO438"/>
      <c r="BP438"/>
      <c r="BQ438"/>
      <c r="BR438"/>
      <c r="BS438"/>
      <c r="BT438"/>
      <c r="BU438"/>
      <c r="BV438"/>
      <c r="BW438"/>
      <c r="BX438"/>
      <c r="BY438"/>
      <c r="BZ438"/>
      <c r="CA438"/>
      <c r="CB438"/>
      <c r="CC438"/>
      <c r="CD438"/>
      <c r="CE438"/>
      <c r="CF438"/>
      <c r="CG438"/>
    </row>
    <row r="439" spans="2:85" ht="15">
      <c r="B439" s="9"/>
      <c r="C439" s="9"/>
      <c r="D439" s="3"/>
      <c r="E439" s="3"/>
      <c r="F439" s="3"/>
      <c r="G439" s="3"/>
      <c r="H439" s="3"/>
      <c r="I439" s="3"/>
      <c r="J439" s="9"/>
      <c r="K439" s="9"/>
      <c r="L439" s="9"/>
      <c r="M439" s="9"/>
      <c r="N439" s="9"/>
      <c r="O439" s="9"/>
      <c r="P439" s="9"/>
      <c r="Q439" s="9"/>
      <c r="R439" s="48"/>
      <c r="S439"/>
      <c r="T439"/>
      <c r="U439"/>
      <c r="V439"/>
      <c r="W439"/>
      <c r="X439"/>
      <c r="Y439"/>
      <c r="Z439"/>
      <c r="AA439"/>
      <c r="AJ439"/>
      <c r="AL439"/>
      <c r="AM439"/>
      <c r="AN439"/>
      <c r="AO439"/>
      <c r="AP439"/>
      <c r="AQ439"/>
      <c r="AR439"/>
      <c r="AS439"/>
      <c r="AT439"/>
      <c r="AU439"/>
      <c r="AV439"/>
      <c r="AW439"/>
      <c r="AX439"/>
      <c r="AY439"/>
      <c r="AZ439"/>
      <c r="BA439"/>
      <c r="BB439"/>
      <c r="BC439"/>
      <c r="BD439"/>
      <c r="BE439"/>
      <c r="BF439"/>
      <c r="BG439"/>
      <c r="BH439"/>
      <c r="BI439"/>
      <c r="BJ439"/>
      <c r="BK439"/>
      <c r="BL439"/>
      <c r="BM439"/>
      <c r="BN439"/>
      <c r="BO439"/>
      <c r="BP439"/>
      <c r="BQ439"/>
      <c r="BR439"/>
      <c r="BS439"/>
      <c r="BT439"/>
      <c r="BU439"/>
      <c r="BV439"/>
      <c r="BW439"/>
      <c r="BX439"/>
      <c r="BY439"/>
      <c r="BZ439"/>
      <c r="CA439"/>
      <c r="CB439"/>
      <c r="CC439"/>
      <c r="CD439"/>
      <c r="CE439"/>
      <c r="CF439"/>
      <c r="CG439"/>
    </row>
    <row r="440" spans="2:85" ht="15">
      <c r="B440" s="9"/>
      <c r="C440" s="9"/>
      <c r="D440" s="3"/>
      <c r="E440" s="3"/>
      <c r="F440" s="3"/>
      <c r="G440" s="3"/>
      <c r="H440" s="3"/>
      <c r="I440" s="3"/>
      <c r="J440" s="9"/>
      <c r="K440" s="9"/>
      <c r="L440" s="9"/>
      <c r="M440" s="9"/>
      <c r="N440" s="9"/>
      <c r="O440" s="9"/>
      <c r="P440" s="9"/>
      <c r="Q440" s="9"/>
      <c r="R440" s="48"/>
      <c r="S440"/>
      <c r="T440"/>
      <c r="U440"/>
      <c r="V440"/>
      <c r="W440"/>
      <c r="X440"/>
      <c r="Y440"/>
      <c r="Z440"/>
      <c r="AA440"/>
      <c r="AJ440"/>
      <c r="AL440"/>
      <c r="AM440"/>
      <c r="AN440"/>
      <c r="AO440"/>
      <c r="AP440"/>
      <c r="AQ440"/>
      <c r="AR440"/>
      <c r="AS440"/>
      <c r="AT440"/>
      <c r="AU440"/>
      <c r="AV440"/>
      <c r="AW440"/>
      <c r="AX440"/>
      <c r="AY440"/>
      <c r="AZ440"/>
      <c r="BA440"/>
      <c r="BB440"/>
      <c r="BC440"/>
      <c r="BD440"/>
      <c r="BE440"/>
      <c r="BF440"/>
      <c r="BG440"/>
      <c r="BH440"/>
      <c r="BI440"/>
      <c r="BJ440"/>
      <c r="BK440"/>
      <c r="BL440"/>
      <c r="BM440"/>
      <c r="BN440"/>
      <c r="BO440"/>
      <c r="BP440"/>
      <c r="BQ440"/>
      <c r="BR440"/>
      <c r="BS440"/>
      <c r="BT440"/>
      <c r="BU440"/>
      <c r="BV440"/>
      <c r="BW440"/>
      <c r="BX440"/>
      <c r="BY440"/>
      <c r="BZ440"/>
      <c r="CA440"/>
      <c r="CB440"/>
      <c r="CC440"/>
      <c r="CD440"/>
      <c r="CE440"/>
      <c r="CF440"/>
      <c r="CG440"/>
    </row>
    <row r="441" spans="2:85" ht="15">
      <c r="B441" s="9"/>
      <c r="C441" s="9"/>
      <c r="D441" s="3"/>
      <c r="E441" s="3"/>
      <c r="F441" s="3"/>
      <c r="G441" s="3"/>
      <c r="H441" s="3"/>
      <c r="I441" s="3"/>
      <c r="J441" s="9"/>
      <c r="K441" s="9"/>
      <c r="L441" s="9"/>
      <c r="M441" s="9"/>
      <c r="N441" s="9"/>
      <c r="O441" s="9"/>
      <c r="P441" s="9"/>
      <c r="Q441" s="9"/>
      <c r="R441" s="48"/>
      <c r="S441"/>
      <c r="T441"/>
      <c r="U441"/>
      <c r="V441"/>
      <c r="W441"/>
      <c r="X441"/>
      <c r="Y441"/>
      <c r="Z441"/>
      <c r="AA441"/>
      <c r="AJ441"/>
      <c r="AL441"/>
      <c r="AM441"/>
      <c r="AN441"/>
      <c r="AO441"/>
      <c r="AP441"/>
      <c r="AQ441"/>
      <c r="AR441"/>
      <c r="AS441"/>
      <c r="AT441"/>
      <c r="AU441"/>
      <c r="AV441"/>
      <c r="AW441"/>
      <c r="AX441"/>
      <c r="AY441"/>
      <c r="AZ441"/>
      <c r="BA441"/>
      <c r="BB441"/>
      <c r="BC441"/>
      <c r="BD441"/>
      <c r="BE441"/>
      <c r="BF441"/>
      <c r="BG441"/>
      <c r="BH441"/>
      <c r="BI441"/>
      <c r="BJ441"/>
      <c r="BK441"/>
      <c r="BL441"/>
      <c r="BM441"/>
      <c r="BN441"/>
      <c r="BO441"/>
      <c r="BP441"/>
      <c r="BQ441"/>
      <c r="BR441"/>
      <c r="BS441"/>
      <c r="BT441"/>
      <c r="BU441"/>
      <c r="BV441"/>
      <c r="BW441"/>
      <c r="BX441"/>
      <c r="BY441"/>
      <c r="BZ441"/>
      <c r="CA441"/>
      <c r="CB441"/>
      <c r="CC441"/>
      <c r="CD441"/>
      <c r="CE441"/>
      <c r="CF441"/>
      <c r="CG441"/>
    </row>
    <row r="442" spans="2:85" ht="15">
      <c r="B442" s="9"/>
      <c r="C442" s="9"/>
      <c r="D442" s="3"/>
      <c r="E442" s="3"/>
      <c r="F442" s="3"/>
      <c r="G442" s="3"/>
      <c r="H442" s="3"/>
      <c r="I442" s="3"/>
      <c r="J442" s="9"/>
      <c r="K442" s="9"/>
      <c r="L442" s="9"/>
      <c r="M442" s="9"/>
      <c r="N442" s="9"/>
      <c r="O442" s="9"/>
      <c r="P442" s="9"/>
      <c r="Q442" s="9"/>
      <c r="R442" s="48"/>
      <c r="S442"/>
      <c r="T442"/>
      <c r="U442"/>
      <c r="V442"/>
      <c r="W442"/>
      <c r="X442"/>
      <c r="Y442"/>
      <c r="Z442"/>
      <c r="AA442"/>
      <c r="AJ442"/>
      <c r="AL442"/>
      <c r="AM442"/>
      <c r="AN442"/>
      <c r="AO442"/>
      <c r="AP442"/>
      <c r="AQ442"/>
      <c r="AR442"/>
      <c r="AS442"/>
      <c r="AT442"/>
      <c r="AU442"/>
      <c r="AV442"/>
      <c r="AW442"/>
      <c r="AX442"/>
      <c r="AY442"/>
      <c r="AZ442"/>
      <c r="BA442"/>
      <c r="BB442"/>
      <c r="BC442"/>
      <c r="BD442"/>
      <c r="BE442"/>
      <c r="BF442"/>
      <c r="BG442"/>
      <c r="BH442"/>
      <c r="BI442"/>
      <c r="BJ442"/>
      <c r="BK442"/>
      <c r="BL442"/>
      <c r="BM442"/>
      <c r="BN442"/>
      <c r="BO442"/>
      <c r="BP442"/>
      <c r="BQ442"/>
      <c r="BR442"/>
      <c r="BS442"/>
      <c r="BT442"/>
      <c r="BU442"/>
      <c r="BV442"/>
      <c r="BW442"/>
      <c r="BX442"/>
      <c r="BY442"/>
      <c r="BZ442"/>
      <c r="CA442"/>
      <c r="CB442"/>
      <c r="CC442"/>
      <c r="CD442"/>
      <c r="CE442"/>
      <c r="CF442"/>
      <c r="CG442"/>
    </row>
    <row r="443" spans="2:85" ht="15">
      <c r="B443" s="9"/>
      <c r="C443" s="9"/>
      <c r="D443" s="3"/>
      <c r="E443" s="3"/>
      <c r="F443" s="3"/>
      <c r="G443" s="3"/>
      <c r="H443" s="3"/>
      <c r="I443" s="3"/>
      <c r="J443" s="9"/>
      <c r="K443" s="9"/>
      <c r="L443" s="9"/>
      <c r="M443" s="9"/>
      <c r="N443" s="9"/>
      <c r="O443" s="9"/>
      <c r="P443" s="9"/>
      <c r="Q443" s="9"/>
      <c r="R443" s="48"/>
      <c r="S443"/>
      <c r="T443"/>
      <c r="U443"/>
      <c r="V443"/>
      <c r="W443"/>
      <c r="X443"/>
      <c r="Y443"/>
      <c r="Z443"/>
      <c r="AA443"/>
      <c r="AJ443"/>
      <c r="AL443"/>
      <c r="AM443"/>
      <c r="AN443"/>
      <c r="AO443"/>
      <c r="AP443"/>
      <c r="AQ443"/>
      <c r="AR443"/>
      <c r="AS443"/>
      <c r="AT443"/>
      <c r="AU443"/>
      <c r="AV443"/>
      <c r="AW443"/>
      <c r="AX443"/>
      <c r="AY443"/>
      <c r="AZ443"/>
      <c r="BA443"/>
      <c r="BB443"/>
      <c r="BC443"/>
      <c r="BD443"/>
      <c r="BE443"/>
      <c r="BF443"/>
      <c r="BG443"/>
      <c r="BH443"/>
      <c r="BI443"/>
      <c r="BJ443"/>
      <c r="BK443"/>
      <c r="BL443"/>
      <c r="BM443"/>
      <c r="BN443"/>
      <c r="BO443"/>
      <c r="BP443"/>
      <c r="BQ443"/>
      <c r="BR443"/>
      <c r="BS443"/>
      <c r="BT443"/>
      <c r="BU443"/>
      <c r="BV443"/>
      <c r="BW443"/>
      <c r="BX443"/>
      <c r="BY443"/>
      <c r="BZ443"/>
      <c r="CA443"/>
      <c r="CB443"/>
      <c r="CC443"/>
      <c r="CD443"/>
      <c r="CE443"/>
      <c r="CF443"/>
      <c r="CG443"/>
    </row>
    <row r="444" spans="2:85" ht="15">
      <c r="B444" s="9"/>
      <c r="C444" s="9"/>
      <c r="D444" s="3"/>
      <c r="E444" s="3"/>
      <c r="F444" s="3"/>
      <c r="G444" s="3"/>
      <c r="H444" s="3"/>
      <c r="I444" s="3"/>
      <c r="J444" s="9"/>
      <c r="K444" s="9"/>
      <c r="L444" s="9"/>
      <c r="M444" s="9"/>
      <c r="N444" s="9"/>
      <c r="O444" s="9"/>
      <c r="P444" s="9"/>
      <c r="Q444" s="9"/>
      <c r="R444" s="48"/>
      <c r="S444"/>
      <c r="T444"/>
      <c r="U444"/>
      <c r="V444"/>
      <c r="W444"/>
      <c r="X444"/>
      <c r="Y444"/>
      <c r="Z444"/>
      <c r="AA444"/>
      <c r="AJ444"/>
      <c r="AL444"/>
      <c r="AM444"/>
      <c r="AN444"/>
      <c r="AO444"/>
      <c r="AP444"/>
      <c r="AQ444"/>
      <c r="AR444"/>
      <c r="AS444"/>
      <c r="AT444"/>
      <c r="AU444"/>
      <c r="AV444"/>
      <c r="AW444"/>
      <c r="AX444"/>
      <c r="AY444"/>
      <c r="AZ444"/>
      <c r="BA444"/>
      <c r="BB444"/>
      <c r="BC444"/>
      <c r="BD444"/>
      <c r="BE444"/>
      <c r="BF444"/>
      <c r="BG444"/>
      <c r="BH444"/>
      <c r="BI444"/>
      <c r="BJ444"/>
      <c r="BK444"/>
      <c r="BL444"/>
      <c r="BM444"/>
      <c r="BN444"/>
      <c r="BO444"/>
      <c r="BP444"/>
      <c r="BQ444"/>
      <c r="BR444"/>
      <c r="BS444"/>
      <c r="BT444"/>
      <c r="BU444"/>
      <c r="BV444"/>
      <c r="BW444"/>
      <c r="BX444"/>
      <c r="BY444"/>
      <c r="BZ444"/>
      <c r="CA444"/>
      <c r="CB444"/>
      <c r="CC444"/>
      <c r="CD444"/>
      <c r="CE444"/>
      <c r="CF444"/>
      <c r="CG444"/>
    </row>
    <row r="445" spans="2:85" ht="15">
      <c r="B445" s="9"/>
      <c r="C445" s="9"/>
      <c r="D445" s="3"/>
      <c r="E445" s="3"/>
      <c r="F445" s="3"/>
      <c r="G445" s="3"/>
      <c r="H445" s="3"/>
      <c r="I445" s="3"/>
      <c r="J445" s="9"/>
      <c r="K445" s="9"/>
      <c r="L445" s="9"/>
      <c r="M445" s="9"/>
      <c r="N445" s="9"/>
      <c r="O445" s="9"/>
      <c r="P445" s="9"/>
      <c r="Q445" s="9"/>
      <c r="R445" s="48"/>
      <c r="S445"/>
      <c r="T445"/>
      <c r="U445"/>
      <c r="V445"/>
      <c r="W445"/>
      <c r="X445"/>
      <c r="Y445"/>
      <c r="Z445"/>
      <c r="AA445"/>
      <c r="AJ445"/>
      <c r="AL445"/>
      <c r="AM445"/>
      <c r="AN445"/>
      <c r="AO445"/>
      <c r="AP445"/>
      <c r="AQ445"/>
      <c r="AR445"/>
      <c r="AS445"/>
      <c r="AT445"/>
      <c r="AU445"/>
      <c r="AV445"/>
      <c r="AW445"/>
      <c r="AX445"/>
      <c r="AY445"/>
      <c r="AZ445"/>
      <c r="BA445"/>
      <c r="BB445"/>
      <c r="BC445"/>
      <c r="BD445"/>
      <c r="BE445"/>
      <c r="BF445"/>
      <c r="BG445"/>
      <c r="BH445"/>
      <c r="BI445"/>
      <c r="BJ445"/>
      <c r="BK445"/>
      <c r="BL445"/>
      <c r="BM445"/>
      <c r="BN445"/>
      <c r="BO445"/>
      <c r="BP445"/>
      <c r="BQ445"/>
      <c r="BR445"/>
      <c r="BS445"/>
      <c r="BT445"/>
      <c r="BU445"/>
      <c r="BV445"/>
      <c r="BW445"/>
      <c r="BX445"/>
      <c r="BY445"/>
      <c r="BZ445"/>
      <c r="CA445"/>
      <c r="CB445"/>
      <c r="CC445"/>
      <c r="CD445"/>
      <c r="CE445"/>
      <c r="CF445"/>
      <c r="CG445"/>
    </row>
    <row r="446" spans="2:85" ht="15">
      <c r="B446" s="9"/>
      <c r="C446" s="9"/>
      <c r="D446" s="3"/>
      <c r="E446" s="3"/>
      <c r="F446" s="3"/>
      <c r="G446" s="3"/>
      <c r="H446" s="3"/>
      <c r="I446" s="3"/>
      <c r="J446" s="9"/>
      <c r="K446" s="9"/>
      <c r="L446" s="9"/>
      <c r="M446" s="9"/>
      <c r="N446" s="9"/>
      <c r="O446" s="9"/>
      <c r="P446" s="9"/>
      <c r="Q446" s="9"/>
      <c r="R446" s="48"/>
      <c r="S446"/>
      <c r="T446"/>
      <c r="U446"/>
      <c r="V446"/>
      <c r="W446"/>
      <c r="X446"/>
      <c r="Y446"/>
      <c r="Z446"/>
      <c r="AA446"/>
      <c r="AJ446"/>
      <c r="AL446"/>
      <c r="AM446"/>
      <c r="AN446"/>
      <c r="AO446"/>
      <c r="AP446"/>
      <c r="AQ446"/>
      <c r="AR446"/>
      <c r="AS446"/>
      <c r="AT446"/>
      <c r="AU446"/>
      <c r="AV446"/>
      <c r="AW446"/>
      <c r="AX446"/>
      <c r="AY446"/>
      <c r="AZ446"/>
      <c r="BA446"/>
      <c r="BB446"/>
      <c r="BC446"/>
      <c r="BD446"/>
      <c r="BE446"/>
      <c r="BF446"/>
      <c r="BG446"/>
      <c r="BH446"/>
      <c r="BI446"/>
      <c r="BJ446"/>
      <c r="BK446"/>
      <c r="BL446"/>
      <c r="BM446"/>
      <c r="BN446"/>
      <c r="BO446"/>
      <c r="BP446"/>
      <c r="BQ446"/>
      <c r="BR446"/>
      <c r="BS446"/>
      <c r="BT446"/>
      <c r="BU446"/>
      <c r="BV446"/>
      <c r="BW446"/>
      <c r="BX446"/>
      <c r="BY446"/>
      <c r="BZ446"/>
      <c r="CA446"/>
      <c r="CB446"/>
      <c r="CC446"/>
      <c r="CD446"/>
      <c r="CE446"/>
      <c r="CF446"/>
      <c r="CG446"/>
    </row>
    <row r="447" spans="2:85" ht="15">
      <c r="B447" s="9"/>
      <c r="C447" s="9"/>
      <c r="D447" s="3"/>
      <c r="E447" s="3"/>
      <c r="F447" s="3"/>
      <c r="G447" s="3"/>
      <c r="H447" s="3"/>
      <c r="I447" s="3"/>
      <c r="J447" s="9"/>
      <c r="K447" s="9"/>
      <c r="L447" s="9"/>
      <c r="M447" s="9"/>
      <c r="N447" s="9"/>
      <c r="O447" s="9"/>
      <c r="P447" s="9"/>
      <c r="Q447" s="9"/>
      <c r="R447" s="48"/>
      <c r="S447"/>
      <c r="T447"/>
      <c r="U447"/>
      <c r="V447"/>
      <c r="W447"/>
      <c r="X447"/>
      <c r="Y447"/>
      <c r="Z447"/>
      <c r="AA447"/>
      <c r="AJ447"/>
      <c r="AL447"/>
      <c r="AM447"/>
      <c r="AN447"/>
      <c r="AO447"/>
      <c r="AP447"/>
      <c r="AQ447"/>
      <c r="AR447"/>
      <c r="AS447"/>
      <c r="AT447"/>
      <c r="AU447"/>
      <c r="AV447"/>
      <c r="AW447"/>
      <c r="AX447"/>
      <c r="AY447"/>
      <c r="AZ447"/>
      <c r="BA447"/>
      <c r="BB447"/>
      <c r="BC447"/>
      <c r="BD447"/>
      <c r="BE447"/>
      <c r="BF447"/>
      <c r="BG447"/>
      <c r="BH447"/>
      <c r="BI447"/>
      <c r="BJ447"/>
      <c r="BK447"/>
      <c r="BL447"/>
      <c r="BM447"/>
      <c r="BN447"/>
      <c r="BO447"/>
      <c r="BP447"/>
      <c r="BQ447"/>
      <c r="BR447"/>
      <c r="BS447"/>
      <c r="BT447"/>
      <c r="BU447"/>
      <c r="BV447"/>
      <c r="BW447"/>
      <c r="BX447"/>
      <c r="BY447"/>
      <c r="BZ447"/>
      <c r="CA447"/>
      <c r="CB447"/>
      <c r="CC447"/>
      <c r="CD447"/>
      <c r="CE447"/>
      <c r="CF447"/>
      <c r="CG447"/>
    </row>
    <row r="448" spans="4:85" ht="15">
      <c r="D448" s="1"/>
      <c r="E448" s="1"/>
      <c r="F448" s="1"/>
      <c r="G448" s="1"/>
      <c r="H448" s="1"/>
      <c r="I448" s="1"/>
      <c r="P448" s="9"/>
      <c r="Q448" s="9"/>
      <c r="R448" s="48"/>
      <c r="S448"/>
      <c r="T448"/>
      <c r="U448"/>
      <c r="V448"/>
      <c r="W448"/>
      <c r="X448"/>
      <c r="Y448"/>
      <c r="Z448"/>
      <c r="AA448"/>
      <c r="AJ448"/>
      <c r="AL448"/>
      <c r="AM448"/>
      <c r="AN448"/>
      <c r="AO448"/>
      <c r="AP448"/>
      <c r="AQ448"/>
      <c r="AR448"/>
      <c r="AS448"/>
      <c r="AT448"/>
      <c r="AU448"/>
      <c r="AV448"/>
      <c r="AW448"/>
      <c r="AX448"/>
      <c r="AY448"/>
      <c r="AZ448"/>
      <c r="BA448"/>
      <c r="BB448"/>
      <c r="BC448"/>
      <c r="BD448"/>
      <c r="BE448"/>
      <c r="BF448"/>
      <c r="BG448"/>
      <c r="BH448"/>
      <c r="BI448"/>
      <c r="BJ448"/>
      <c r="BK448"/>
      <c r="BL448"/>
      <c r="BM448"/>
      <c r="BN448"/>
      <c r="BO448"/>
      <c r="BP448"/>
      <c r="BQ448"/>
      <c r="BR448"/>
      <c r="BS448"/>
      <c r="BT448"/>
      <c r="BU448"/>
      <c r="BV448"/>
      <c r="BW448"/>
      <c r="BX448"/>
      <c r="BY448"/>
      <c r="BZ448"/>
      <c r="CA448"/>
      <c r="CB448"/>
      <c r="CC448"/>
      <c r="CD448"/>
      <c r="CE448"/>
      <c r="CF448"/>
      <c r="CG448"/>
    </row>
    <row r="449" spans="4:85" ht="15">
      <c r="D449" s="1"/>
      <c r="E449" s="1"/>
      <c r="F449" s="1"/>
      <c r="G449" s="1"/>
      <c r="H449" s="1"/>
      <c r="I449" s="1"/>
      <c r="S449"/>
      <c r="T449"/>
      <c r="U449"/>
      <c r="V449"/>
      <c r="W449"/>
      <c r="X449"/>
      <c r="Y449"/>
      <c r="Z449"/>
      <c r="AA449"/>
      <c r="AJ449"/>
      <c r="AL449"/>
      <c r="AM449"/>
      <c r="AN449"/>
      <c r="AO449"/>
      <c r="AP449"/>
      <c r="AQ449"/>
      <c r="AR449"/>
      <c r="AS449"/>
      <c r="AT449"/>
      <c r="AU449"/>
      <c r="AV449"/>
      <c r="AW449"/>
      <c r="AX449"/>
      <c r="AY449"/>
      <c r="AZ449"/>
      <c r="BA449"/>
      <c r="BB449"/>
      <c r="BC449"/>
      <c r="BD449"/>
      <c r="BE449"/>
      <c r="BF449"/>
      <c r="BG449"/>
      <c r="BH449"/>
      <c r="BI449"/>
      <c r="BJ449"/>
      <c r="BK449"/>
      <c r="BL449"/>
      <c r="BM449"/>
      <c r="BN449"/>
      <c r="BO449"/>
      <c r="BP449"/>
      <c r="BQ449"/>
      <c r="BR449"/>
      <c r="BS449"/>
      <c r="BT449"/>
      <c r="BU449"/>
      <c r="BV449"/>
      <c r="BW449"/>
      <c r="BX449"/>
      <c r="BY449"/>
      <c r="BZ449"/>
      <c r="CA449"/>
      <c r="CB449"/>
      <c r="CC449"/>
      <c r="CD449"/>
      <c r="CE449"/>
      <c r="CF449"/>
      <c r="CG449"/>
    </row>
    <row r="450" spans="4:85" ht="15">
      <c r="D450" s="1"/>
      <c r="E450" s="1"/>
      <c r="F450" s="1"/>
      <c r="G450" s="1"/>
      <c r="H450" s="1"/>
      <c r="I450" s="1"/>
      <c r="S450"/>
      <c r="T450"/>
      <c r="U450"/>
      <c r="V450"/>
      <c r="W450"/>
      <c r="X450"/>
      <c r="Y450"/>
      <c r="Z450"/>
      <c r="AA450"/>
      <c r="AJ450"/>
      <c r="AL450"/>
      <c r="AM450"/>
      <c r="AN450"/>
      <c r="AO450"/>
      <c r="AP450"/>
      <c r="AQ450"/>
      <c r="AR450"/>
      <c r="AS450"/>
      <c r="AT450"/>
      <c r="AU450"/>
      <c r="AV450"/>
      <c r="AW450"/>
      <c r="AX450"/>
      <c r="AY450"/>
      <c r="AZ450"/>
      <c r="BA450"/>
      <c r="BB450"/>
      <c r="BC450"/>
      <c r="BD450"/>
      <c r="BE450"/>
      <c r="BF450"/>
      <c r="BG450"/>
      <c r="BH450"/>
      <c r="BI450"/>
      <c r="BJ450"/>
      <c r="BK450"/>
      <c r="BL450"/>
      <c r="BM450"/>
      <c r="BN450"/>
      <c r="BO450"/>
      <c r="BP450"/>
      <c r="BQ450"/>
      <c r="BR450"/>
      <c r="BS450"/>
      <c r="BT450"/>
      <c r="BU450"/>
      <c r="BV450"/>
      <c r="BW450"/>
      <c r="BX450"/>
      <c r="BY450"/>
      <c r="BZ450"/>
      <c r="CA450"/>
      <c r="CB450"/>
      <c r="CC450"/>
      <c r="CD450"/>
      <c r="CE450"/>
      <c r="CF450"/>
      <c r="CG450"/>
    </row>
    <row r="451" spans="4:85" ht="15">
      <c r="D451" s="1"/>
      <c r="E451" s="1"/>
      <c r="F451" s="1"/>
      <c r="G451" s="1"/>
      <c r="H451" s="1"/>
      <c r="I451" s="1"/>
      <c r="S451"/>
      <c r="T451"/>
      <c r="U451"/>
      <c r="V451"/>
      <c r="W451"/>
      <c r="X451"/>
      <c r="Y451"/>
      <c r="Z451"/>
      <c r="AA451"/>
      <c r="AJ451"/>
      <c r="AL451"/>
      <c r="AM451"/>
      <c r="AN451"/>
      <c r="AO451"/>
      <c r="AP451"/>
      <c r="AQ451"/>
      <c r="AR451"/>
      <c r="AS451"/>
      <c r="AT451"/>
      <c r="AU451"/>
      <c r="AV451"/>
      <c r="AW451"/>
      <c r="AX451"/>
      <c r="AY451"/>
      <c r="AZ451"/>
      <c r="BA451"/>
      <c r="BB451"/>
      <c r="BC451"/>
      <c r="BD451"/>
      <c r="BE451"/>
      <c r="BF451"/>
      <c r="BG451"/>
      <c r="BH451"/>
      <c r="BI451"/>
      <c r="BJ451"/>
      <c r="BK451"/>
      <c r="BL451"/>
      <c r="BM451"/>
      <c r="BN451"/>
      <c r="BO451"/>
      <c r="BP451"/>
      <c r="BQ451"/>
      <c r="BR451"/>
      <c r="BS451"/>
      <c r="BT451"/>
      <c r="BU451"/>
      <c r="BV451"/>
      <c r="BW451"/>
      <c r="BX451"/>
      <c r="BY451"/>
      <c r="BZ451"/>
      <c r="CA451"/>
      <c r="CB451"/>
      <c r="CC451"/>
      <c r="CD451"/>
      <c r="CE451"/>
      <c r="CF451"/>
      <c r="CG451"/>
    </row>
    <row r="452" spans="4:85" ht="15">
      <c r="D452" s="1"/>
      <c r="E452" s="1"/>
      <c r="F452" s="1"/>
      <c r="G452" s="1"/>
      <c r="H452" s="1"/>
      <c r="I452" s="1"/>
      <c r="S452"/>
      <c r="T452"/>
      <c r="U452"/>
      <c r="V452"/>
      <c r="W452"/>
      <c r="X452"/>
      <c r="Y452"/>
      <c r="Z452"/>
      <c r="AA452"/>
      <c r="AJ452"/>
      <c r="AL452"/>
      <c r="AM452"/>
      <c r="AN452"/>
      <c r="AO452"/>
      <c r="AP452"/>
      <c r="AQ452"/>
      <c r="AR452"/>
      <c r="AS452"/>
      <c r="AT452"/>
      <c r="AU452"/>
      <c r="AV452"/>
      <c r="AW452"/>
      <c r="AX452"/>
      <c r="AY452"/>
      <c r="AZ452"/>
      <c r="BA452"/>
      <c r="BB452"/>
      <c r="BC452"/>
      <c r="BD452"/>
      <c r="BE452"/>
      <c r="BF452"/>
      <c r="BG452"/>
      <c r="BH452"/>
      <c r="BI452"/>
      <c r="BJ452"/>
      <c r="BK452"/>
      <c r="BL452"/>
      <c r="BM452"/>
      <c r="BN452"/>
      <c r="BO452"/>
      <c r="BP452"/>
      <c r="BQ452"/>
      <c r="BR452"/>
      <c r="BS452"/>
      <c r="BT452"/>
      <c r="BU452"/>
      <c r="BV452"/>
      <c r="BW452"/>
      <c r="BX452"/>
      <c r="BY452"/>
      <c r="BZ452"/>
      <c r="CA452"/>
      <c r="CB452"/>
      <c r="CC452"/>
      <c r="CD452"/>
      <c r="CE452"/>
      <c r="CF452"/>
      <c r="CG452"/>
    </row>
    <row r="453" spans="4:85" ht="15">
      <c r="D453" s="1"/>
      <c r="E453" s="1"/>
      <c r="F453" s="1"/>
      <c r="G453" s="1"/>
      <c r="H453" s="1"/>
      <c r="I453" s="1"/>
      <c r="S453"/>
      <c r="T453"/>
      <c r="U453"/>
      <c r="V453"/>
      <c r="W453"/>
      <c r="X453"/>
      <c r="Y453"/>
      <c r="Z453"/>
      <c r="AA453"/>
      <c r="AJ453"/>
      <c r="AL453"/>
      <c r="AM453"/>
      <c r="AN453"/>
      <c r="AO453"/>
      <c r="AP453"/>
      <c r="AQ453"/>
      <c r="AR453"/>
      <c r="AS453"/>
      <c r="AT453"/>
      <c r="AU453"/>
      <c r="AV453"/>
      <c r="AW453"/>
      <c r="AX453"/>
      <c r="AY453"/>
      <c r="AZ453"/>
      <c r="BA453"/>
      <c r="BB453"/>
      <c r="BC453"/>
      <c r="BD453"/>
      <c r="BE453"/>
      <c r="BF453"/>
      <c r="BG453"/>
      <c r="BH453"/>
      <c r="BI453"/>
      <c r="BJ453"/>
      <c r="BK453"/>
      <c r="BL453"/>
      <c r="BM453"/>
      <c r="BN453"/>
      <c r="BO453"/>
      <c r="BP453"/>
      <c r="BQ453"/>
      <c r="BR453"/>
      <c r="BS453"/>
      <c r="BT453"/>
      <c r="BU453"/>
      <c r="BV453"/>
      <c r="BW453"/>
      <c r="BX453"/>
      <c r="BY453"/>
      <c r="BZ453"/>
      <c r="CA453"/>
      <c r="CB453"/>
      <c r="CC453"/>
      <c r="CD453"/>
      <c r="CE453"/>
      <c r="CF453"/>
      <c r="CG453"/>
    </row>
    <row r="454" spans="4:85" ht="15">
      <c r="D454" s="1"/>
      <c r="E454" s="1"/>
      <c r="F454" s="1"/>
      <c r="G454" s="1"/>
      <c r="H454" s="1"/>
      <c r="I454" s="1"/>
      <c r="R454"/>
      <c r="S454"/>
      <c r="T454"/>
      <c r="U454"/>
      <c r="V454"/>
      <c r="W454"/>
      <c r="X454"/>
      <c r="Y454"/>
      <c r="Z454"/>
      <c r="AA454"/>
      <c r="AJ454"/>
      <c r="AL454"/>
      <c r="AM454"/>
      <c r="AN454"/>
      <c r="AO454"/>
      <c r="AP454"/>
      <c r="AQ454"/>
      <c r="AR454"/>
      <c r="AS454"/>
      <c r="AT454"/>
      <c r="AU454"/>
      <c r="AV454"/>
      <c r="AW454"/>
      <c r="AX454"/>
      <c r="AY454"/>
      <c r="AZ454"/>
      <c r="BA454"/>
      <c r="BB454"/>
      <c r="BC454"/>
      <c r="BD454"/>
      <c r="BE454"/>
      <c r="BF454"/>
      <c r="BG454"/>
      <c r="BH454"/>
      <c r="BI454"/>
      <c r="BJ454"/>
      <c r="BK454"/>
      <c r="BL454"/>
      <c r="BM454"/>
      <c r="BN454"/>
      <c r="BO454"/>
      <c r="BP454"/>
      <c r="BQ454"/>
      <c r="BR454"/>
      <c r="BS454"/>
      <c r="BT454"/>
      <c r="BU454"/>
      <c r="BV454"/>
      <c r="BW454"/>
      <c r="BX454"/>
      <c r="BY454"/>
      <c r="BZ454"/>
      <c r="CA454"/>
      <c r="CB454"/>
      <c r="CC454"/>
      <c r="CD454"/>
      <c r="CE454"/>
      <c r="CF454"/>
      <c r="CG454"/>
    </row>
    <row r="455" spans="4:85" ht="15">
      <c r="D455" s="1"/>
      <c r="E455" s="1"/>
      <c r="F455" s="1"/>
      <c r="G455" s="1"/>
      <c r="H455" s="1"/>
      <c r="I455" s="1"/>
      <c r="R455"/>
      <c r="S455"/>
      <c r="T455"/>
      <c r="U455"/>
      <c r="V455"/>
      <c r="W455"/>
      <c r="X455"/>
      <c r="Y455"/>
      <c r="Z455"/>
      <c r="AA455"/>
      <c r="AJ455"/>
      <c r="AL455"/>
      <c r="AM455"/>
      <c r="AN455"/>
      <c r="AO455"/>
      <c r="AP455"/>
      <c r="AQ455"/>
      <c r="AR455"/>
      <c r="AS455"/>
      <c r="AT455"/>
      <c r="AU455"/>
      <c r="AV455"/>
      <c r="AW455"/>
      <c r="AX455"/>
      <c r="AY455"/>
      <c r="AZ455"/>
      <c r="BA455"/>
      <c r="BB455"/>
      <c r="BC455"/>
      <c r="BD455"/>
      <c r="BE455"/>
      <c r="BF455"/>
      <c r="BG455"/>
      <c r="BH455"/>
      <c r="BI455"/>
      <c r="BJ455"/>
      <c r="BK455"/>
      <c r="BL455"/>
      <c r="BM455"/>
      <c r="BN455"/>
      <c r="BO455"/>
      <c r="BP455"/>
      <c r="BQ455"/>
      <c r="BR455"/>
      <c r="BS455"/>
      <c r="BT455"/>
      <c r="BU455"/>
      <c r="BV455"/>
      <c r="BW455"/>
      <c r="BX455"/>
      <c r="BY455"/>
      <c r="BZ455"/>
      <c r="CA455"/>
      <c r="CB455"/>
      <c r="CC455"/>
      <c r="CD455"/>
      <c r="CE455"/>
      <c r="CF455"/>
      <c r="CG455"/>
    </row>
    <row r="456" spans="4:85" ht="15">
      <c r="D456" s="1"/>
      <c r="E456" s="1"/>
      <c r="F456" s="1"/>
      <c r="G456" s="1"/>
      <c r="H456" s="1"/>
      <c r="I456" s="1"/>
      <c r="R456"/>
      <c r="S456"/>
      <c r="T456"/>
      <c r="U456"/>
      <c r="V456"/>
      <c r="W456"/>
      <c r="X456"/>
      <c r="Y456"/>
      <c r="Z456"/>
      <c r="AA456"/>
      <c r="AJ456"/>
      <c r="AL456"/>
      <c r="AM456"/>
      <c r="AN456"/>
      <c r="AO456"/>
      <c r="AP456"/>
      <c r="AQ456"/>
      <c r="AR456"/>
      <c r="AS456"/>
      <c r="AT456"/>
      <c r="AU456"/>
      <c r="AV456"/>
      <c r="AW456"/>
      <c r="AX456"/>
      <c r="AY456"/>
      <c r="AZ456"/>
      <c r="BA456"/>
      <c r="BB456"/>
      <c r="BC456"/>
      <c r="BD456"/>
      <c r="BE456"/>
      <c r="BF456"/>
      <c r="BG456"/>
      <c r="BH456"/>
      <c r="BI456"/>
      <c r="BJ456"/>
      <c r="BK456"/>
      <c r="BL456"/>
      <c r="BM456"/>
      <c r="BN456"/>
      <c r="BO456"/>
      <c r="BP456"/>
      <c r="BQ456"/>
      <c r="BR456"/>
      <c r="BS456"/>
      <c r="BT456"/>
      <c r="BU456"/>
      <c r="BV456"/>
      <c r="BW456"/>
      <c r="BX456"/>
      <c r="BY456"/>
      <c r="BZ456"/>
      <c r="CA456"/>
      <c r="CB456"/>
      <c r="CC456"/>
      <c r="CD456"/>
      <c r="CE456"/>
      <c r="CF456"/>
      <c r="CG456"/>
    </row>
    <row r="457" spans="4:85" ht="15">
      <c r="D457" s="1"/>
      <c r="E457" s="1"/>
      <c r="F457" s="1"/>
      <c r="G457" s="1"/>
      <c r="H457" s="1"/>
      <c r="I457" s="1"/>
      <c r="R457"/>
      <c r="S457"/>
      <c r="T457"/>
      <c r="U457"/>
      <c r="V457"/>
      <c r="W457"/>
      <c r="X457"/>
      <c r="Y457"/>
      <c r="Z457"/>
      <c r="AA457"/>
      <c r="AJ457"/>
      <c r="AL457"/>
      <c r="AM457"/>
      <c r="AN457"/>
      <c r="AO457"/>
      <c r="AP457"/>
      <c r="AQ457"/>
      <c r="AR457"/>
      <c r="AS457"/>
      <c r="AT457"/>
      <c r="AU457"/>
      <c r="AV457"/>
      <c r="AW457"/>
      <c r="AX457"/>
      <c r="AY457"/>
      <c r="AZ457"/>
      <c r="BA457"/>
      <c r="BB457"/>
      <c r="BC457"/>
      <c r="BD457"/>
      <c r="BE457"/>
      <c r="BF457"/>
      <c r="BG457"/>
      <c r="BH457"/>
      <c r="BI457"/>
      <c r="BJ457"/>
      <c r="BK457"/>
      <c r="BL457"/>
      <c r="BM457"/>
      <c r="BN457"/>
      <c r="BO457"/>
      <c r="BP457"/>
      <c r="BQ457"/>
      <c r="BR457"/>
      <c r="BS457"/>
      <c r="BT457"/>
      <c r="BU457"/>
      <c r="BV457"/>
      <c r="BW457"/>
      <c r="BX457"/>
      <c r="BY457"/>
      <c r="BZ457"/>
      <c r="CA457"/>
      <c r="CB457"/>
      <c r="CC457"/>
      <c r="CD457"/>
      <c r="CE457"/>
      <c r="CF457"/>
      <c r="CG457"/>
    </row>
    <row r="458" spans="4:85" ht="15">
      <c r="D458" s="1"/>
      <c r="E458" s="1"/>
      <c r="F458" s="1"/>
      <c r="G458" s="1"/>
      <c r="H458" s="1"/>
      <c r="I458" s="1"/>
      <c r="R458"/>
      <c r="S458"/>
      <c r="T458"/>
      <c r="U458"/>
      <c r="V458"/>
      <c r="W458"/>
      <c r="X458"/>
      <c r="Y458"/>
      <c r="Z458"/>
      <c r="AA458"/>
      <c r="AJ458"/>
      <c r="AL458"/>
      <c r="AM458"/>
      <c r="AN458"/>
      <c r="AO458"/>
      <c r="AP458"/>
      <c r="AQ458"/>
      <c r="AR458"/>
      <c r="AS458"/>
      <c r="AT458"/>
      <c r="AU458"/>
      <c r="AV458"/>
      <c r="AW458"/>
      <c r="AX458"/>
      <c r="AY458"/>
      <c r="AZ458"/>
      <c r="BA458"/>
      <c r="BB458"/>
      <c r="BC458"/>
      <c r="BD458"/>
      <c r="BE458"/>
      <c r="BF458"/>
      <c r="BG458"/>
      <c r="BH458"/>
      <c r="BI458"/>
      <c r="BJ458"/>
      <c r="BK458"/>
      <c r="BL458"/>
      <c r="BM458"/>
      <c r="BN458"/>
      <c r="BO458"/>
      <c r="BP458"/>
      <c r="BQ458"/>
      <c r="BR458"/>
      <c r="BS458"/>
      <c r="BT458"/>
      <c r="BU458"/>
      <c r="BV458"/>
      <c r="BW458"/>
      <c r="BX458"/>
      <c r="BY458"/>
      <c r="BZ458"/>
      <c r="CA458"/>
      <c r="CB458"/>
      <c r="CC458"/>
      <c r="CD458"/>
      <c r="CE458"/>
      <c r="CF458"/>
      <c r="CG458"/>
    </row>
    <row r="459" spans="4:85" ht="15">
      <c r="D459" s="1"/>
      <c r="E459" s="1"/>
      <c r="F459" s="1"/>
      <c r="G459" s="1"/>
      <c r="H459" s="1"/>
      <c r="I459" s="1"/>
      <c r="R459"/>
      <c r="S459"/>
      <c r="T459"/>
      <c r="U459"/>
      <c r="V459"/>
      <c r="W459"/>
      <c r="X459"/>
      <c r="Y459"/>
      <c r="Z459"/>
      <c r="AA459"/>
      <c r="AJ459"/>
      <c r="AL459"/>
      <c r="AM459"/>
      <c r="AN459"/>
      <c r="AO459"/>
      <c r="AP459"/>
      <c r="AQ459"/>
      <c r="AR459"/>
      <c r="AS459"/>
      <c r="AT459"/>
      <c r="AU459"/>
      <c r="AV459"/>
      <c r="AW459"/>
      <c r="AX459"/>
      <c r="AY459"/>
      <c r="AZ459"/>
      <c r="BA459"/>
      <c r="BB459"/>
      <c r="BC459"/>
      <c r="BD459"/>
      <c r="BE459"/>
      <c r="BF459"/>
      <c r="BG459"/>
      <c r="BH459"/>
      <c r="BI459"/>
      <c r="BJ459"/>
      <c r="BK459"/>
      <c r="BL459"/>
      <c r="BM459"/>
      <c r="BN459"/>
      <c r="BO459"/>
      <c r="BP459"/>
      <c r="BQ459"/>
      <c r="BR459"/>
      <c r="BS459"/>
      <c r="BT459"/>
      <c r="BU459"/>
      <c r="BV459"/>
      <c r="BW459"/>
      <c r="BX459"/>
      <c r="BY459"/>
      <c r="BZ459"/>
      <c r="CA459"/>
      <c r="CB459"/>
      <c r="CC459"/>
      <c r="CD459"/>
      <c r="CE459"/>
      <c r="CF459"/>
      <c r="CG459"/>
    </row>
    <row r="460" spans="4:85" ht="15">
      <c r="D460" s="1"/>
      <c r="E460" s="1"/>
      <c r="F460" s="1"/>
      <c r="G460" s="1"/>
      <c r="H460" s="1"/>
      <c r="I460" s="1"/>
      <c r="R460"/>
      <c r="S460"/>
      <c r="T460"/>
      <c r="U460"/>
      <c r="V460"/>
      <c r="W460"/>
      <c r="X460"/>
      <c r="Y460"/>
      <c r="Z460"/>
      <c r="AA460"/>
      <c r="AJ460"/>
      <c r="AL460"/>
      <c r="AM460"/>
      <c r="AN460"/>
      <c r="AO460"/>
      <c r="AP460"/>
      <c r="AQ460"/>
      <c r="AR460"/>
      <c r="AS460"/>
      <c r="AT460"/>
      <c r="AU460"/>
      <c r="AV460"/>
      <c r="AW460"/>
      <c r="AX460"/>
      <c r="AY460"/>
      <c r="AZ460"/>
      <c r="BA460"/>
      <c r="BB460"/>
      <c r="BC460"/>
      <c r="BD460"/>
      <c r="BE460"/>
      <c r="BF460"/>
      <c r="BG460"/>
      <c r="BH460"/>
      <c r="BI460"/>
      <c r="BJ460"/>
      <c r="BK460"/>
      <c r="BL460"/>
      <c r="BM460"/>
      <c r="BN460"/>
      <c r="BO460"/>
      <c r="BP460"/>
      <c r="BQ460"/>
      <c r="BR460"/>
      <c r="BS460"/>
      <c r="BT460"/>
      <c r="BU460"/>
      <c r="BV460"/>
      <c r="BW460"/>
      <c r="BX460"/>
      <c r="BY460"/>
      <c r="BZ460"/>
      <c r="CA460"/>
      <c r="CB460"/>
      <c r="CC460"/>
      <c r="CD460"/>
      <c r="CE460"/>
      <c r="CF460"/>
      <c r="CG460"/>
    </row>
    <row r="461" spans="4:85" ht="15">
      <c r="D461" s="1"/>
      <c r="E461" s="1"/>
      <c r="F461" s="1"/>
      <c r="G461" s="1"/>
      <c r="H461" s="1"/>
      <c r="I461" s="1"/>
      <c r="R461"/>
      <c r="S461"/>
      <c r="T461"/>
      <c r="U461"/>
      <c r="V461"/>
      <c r="W461"/>
      <c r="X461"/>
      <c r="Y461"/>
      <c r="Z461"/>
      <c r="AA461"/>
      <c r="AJ461"/>
      <c r="AL461"/>
      <c r="AM461"/>
      <c r="AN461"/>
      <c r="AO461"/>
      <c r="AP461"/>
      <c r="AQ461"/>
      <c r="AR461"/>
      <c r="AS461"/>
      <c r="AT461"/>
      <c r="AU461"/>
      <c r="AV461"/>
      <c r="AW461"/>
      <c r="AX461"/>
      <c r="AY461"/>
      <c r="AZ461"/>
      <c r="BA461"/>
      <c r="BB461"/>
      <c r="BC461"/>
      <c r="BD461"/>
      <c r="BE461"/>
      <c r="BF461"/>
      <c r="BG461"/>
      <c r="BH461"/>
      <c r="BI461"/>
      <c r="BJ461"/>
      <c r="BK461"/>
      <c r="BL461"/>
      <c r="BM461"/>
      <c r="BN461"/>
      <c r="BO461"/>
      <c r="BP461"/>
      <c r="BQ461"/>
      <c r="BR461"/>
      <c r="BS461"/>
      <c r="BT461"/>
      <c r="BU461"/>
      <c r="BV461"/>
      <c r="BW461"/>
      <c r="BX461"/>
      <c r="BY461"/>
      <c r="BZ461"/>
      <c r="CA461"/>
      <c r="CB461"/>
      <c r="CC461"/>
      <c r="CD461"/>
      <c r="CE461"/>
      <c r="CF461"/>
      <c r="CG461"/>
    </row>
    <row r="462" spans="4:85" ht="15">
      <c r="D462" s="1"/>
      <c r="E462" s="1"/>
      <c r="F462" s="1"/>
      <c r="G462" s="1"/>
      <c r="H462" s="1"/>
      <c r="I462" s="1"/>
      <c r="R462"/>
      <c r="S462"/>
      <c r="T462"/>
      <c r="U462"/>
      <c r="V462"/>
      <c r="W462"/>
      <c r="X462"/>
      <c r="Y462"/>
      <c r="Z462"/>
      <c r="AA462"/>
      <c r="AJ462"/>
      <c r="AL462"/>
      <c r="AM462"/>
      <c r="AN462"/>
      <c r="AO462"/>
      <c r="AP462"/>
      <c r="AQ462"/>
      <c r="AR462"/>
      <c r="AS462"/>
      <c r="AT462"/>
      <c r="AU462"/>
      <c r="AV462"/>
      <c r="AW462"/>
      <c r="AX462"/>
      <c r="AY462"/>
      <c r="AZ462"/>
      <c r="BA462"/>
      <c r="BB462"/>
      <c r="BC462"/>
      <c r="BD462"/>
      <c r="BE462"/>
      <c r="BF462"/>
      <c r="BG462"/>
      <c r="BH462"/>
      <c r="BI462"/>
      <c r="BJ462"/>
      <c r="BK462"/>
      <c r="BL462"/>
      <c r="BM462"/>
      <c r="BN462"/>
      <c r="BO462"/>
      <c r="BP462"/>
      <c r="BQ462"/>
      <c r="BR462"/>
      <c r="BS462"/>
      <c r="BT462"/>
      <c r="BU462"/>
      <c r="BV462"/>
      <c r="BW462"/>
      <c r="BX462"/>
      <c r="BY462"/>
      <c r="BZ462"/>
      <c r="CA462"/>
      <c r="CB462"/>
      <c r="CC462"/>
      <c r="CD462"/>
      <c r="CE462"/>
      <c r="CF462"/>
      <c r="CG462"/>
    </row>
    <row r="463" spans="4:85" ht="15">
      <c r="D463" s="1"/>
      <c r="E463" s="1"/>
      <c r="F463" s="1"/>
      <c r="G463" s="1"/>
      <c r="H463" s="1"/>
      <c r="I463" s="1"/>
      <c r="R463"/>
      <c r="S463"/>
      <c r="T463"/>
      <c r="U463"/>
      <c r="V463"/>
      <c r="W463"/>
      <c r="X463"/>
      <c r="Y463"/>
      <c r="Z463"/>
      <c r="AA463"/>
      <c r="AJ463"/>
      <c r="AL463"/>
      <c r="AM463"/>
      <c r="AN463"/>
      <c r="AO463"/>
      <c r="AP463"/>
      <c r="AQ463"/>
      <c r="AR463"/>
      <c r="AS463"/>
      <c r="AT463"/>
      <c r="AU463"/>
      <c r="AV463"/>
      <c r="AW463"/>
      <c r="AX463"/>
      <c r="AY463"/>
      <c r="AZ463"/>
      <c r="BA463"/>
      <c r="BB463"/>
      <c r="BC463"/>
      <c r="BD463"/>
      <c r="BE463"/>
      <c r="BF463"/>
      <c r="BG463"/>
      <c r="BH463"/>
      <c r="BI463"/>
      <c r="BJ463"/>
      <c r="BK463"/>
      <c r="BL463"/>
      <c r="BM463"/>
      <c r="BN463"/>
      <c r="BO463"/>
      <c r="BP463"/>
      <c r="BQ463"/>
      <c r="BR463"/>
      <c r="BS463"/>
      <c r="BT463"/>
      <c r="BU463"/>
      <c r="BV463"/>
      <c r="BW463"/>
      <c r="BX463"/>
      <c r="BY463"/>
      <c r="BZ463"/>
      <c r="CA463"/>
      <c r="CB463"/>
      <c r="CC463"/>
      <c r="CD463"/>
      <c r="CE463"/>
      <c r="CF463"/>
      <c r="CG463"/>
    </row>
    <row r="464" spans="4:85" ht="15">
      <c r="D464" s="1"/>
      <c r="E464" s="1"/>
      <c r="F464" s="1"/>
      <c r="G464" s="1"/>
      <c r="H464" s="1"/>
      <c r="I464" s="1"/>
      <c r="R464"/>
      <c r="S464"/>
      <c r="T464"/>
      <c r="U464"/>
      <c r="V464"/>
      <c r="W464"/>
      <c r="X464"/>
      <c r="Y464"/>
      <c r="Z464"/>
      <c r="AA464"/>
      <c r="AJ464"/>
      <c r="AL464"/>
      <c r="AM464"/>
      <c r="AN464"/>
      <c r="AO464"/>
      <c r="AP464"/>
      <c r="AQ464"/>
      <c r="AR464"/>
      <c r="AS464"/>
      <c r="AT464"/>
      <c r="AU464"/>
      <c r="AV464"/>
      <c r="AW464"/>
      <c r="AX464"/>
      <c r="AY464"/>
      <c r="AZ464"/>
      <c r="BA464"/>
      <c r="BB464"/>
      <c r="BC464"/>
      <c r="BD464"/>
      <c r="BE464"/>
      <c r="BF464"/>
      <c r="BG464"/>
      <c r="BH464"/>
      <c r="BI464"/>
      <c r="BJ464"/>
      <c r="BK464"/>
      <c r="BL464"/>
      <c r="BM464"/>
      <c r="BN464"/>
      <c r="BO464"/>
      <c r="BP464"/>
      <c r="BQ464"/>
      <c r="BR464"/>
      <c r="BS464"/>
      <c r="BT464"/>
      <c r="BU464"/>
      <c r="BV464"/>
      <c r="BW464"/>
      <c r="BX464"/>
      <c r="BY464"/>
      <c r="BZ464"/>
      <c r="CA464"/>
      <c r="CB464"/>
      <c r="CC464"/>
      <c r="CD464"/>
      <c r="CE464"/>
      <c r="CF464"/>
      <c r="CG464"/>
    </row>
    <row r="465" spans="4:85" ht="15">
      <c r="D465" s="1"/>
      <c r="E465" s="1"/>
      <c r="F465" s="1"/>
      <c r="G465" s="1"/>
      <c r="H465" s="1"/>
      <c r="I465" s="1"/>
      <c r="R465"/>
      <c r="S465"/>
      <c r="T465"/>
      <c r="U465"/>
      <c r="V465"/>
      <c r="W465"/>
      <c r="X465"/>
      <c r="Y465"/>
      <c r="Z465"/>
      <c r="AA465"/>
      <c r="AJ465"/>
      <c r="AL465"/>
      <c r="AM465"/>
      <c r="AN465"/>
      <c r="AO465"/>
      <c r="AP465"/>
      <c r="AQ465"/>
      <c r="AR465"/>
      <c r="AS465"/>
      <c r="AT465"/>
      <c r="AU465"/>
      <c r="AV465"/>
      <c r="AW465"/>
      <c r="AX465"/>
      <c r="AY465"/>
      <c r="AZ465"/>
      <c r="BA465"/>
      <c r="BB465"/>
      <c r="BC465"/>
      <c r="BD465"/>
      <c r="BE465"/>
      <c r="BF465"/>
      <c r="BG465"/>
      <c r="BH465"/>
      <c r="BI465"/>
      <c r="BJ465"/>
      <c r="BK465"/>
      <c r="BL465"/>
      <c r="BM465"/>
      <c r="BN465"/>
      <c r="BO465"/>
      <c r="BP465"/>
      <c r="BQ465"/>
      <c r="BR465"/>
      <c r="BS465"/>
      <c r="BT465"/>
      <c r="BU465"/>
      <c r="BV465"/>
      <c r="BW465"/>
      <c r="BX465"/>
      <c r="BY465"/>
      <c r="BZ465"/>
      <c r="CA465"/>
      <c r="CB465"/>
      <c r="CC465"/>
      <c r="CD465"/>
      <c r="CE465"/>
      <c r="CF465"/>
      <c r="CG465"/>
    </row>
    <row r="466" spans="4:85" ht="15">
      <c r="D466" s="1"/>
      <c r="E466" s="1"/>
      <c r="F466" s="1"/>
      <c r="G466" s="1"/>
      <c r="H466" s="1"/>
      <c r="I466" s="1"/>
      <c r="R466"/>
      <c r="S466"/>
      <c r="T466"/>
      <c r="U466"/>
      <c r="V466"/>
      <c r="W466"/>
      <c r="X466"/>
      <c r="Y466"/>
      <c r="Z466"/>
      <c r="AA466"/>
      <c r="AJ466"/>
      <c r="AL466"/>
      <c r="AM466"/>
      <c r="AN466"/>
      <c r="AO466"/>
      <c r="AP466"/>
      <c r="AQ466"/>
      <c r="AR466"/>
      <c r="AS466"/>
      <c r="AT466"/>
      <c r="AU466"/>
      <c r="AV466"/>
      <c r="AW466"/>
      <c r="AX466"/>
      <c r="AY466"/>
      <c r="AZ466"/>
      <c r="BA466"/>
      <c r="BB466"/>
      <c r="BC466"/>
      <c r="BD466"/>
      <c r="BE466"/>
      <c r="BF466"/>
      <c r="BG466"/>
      <c r="BH466"/>
      <c r="BI466"/>
      <c r="BJ466"/>
      <c r="BK466"/>
      <c r="BL466"/>
      <c r="BM466"/>
      <c r="BN466"/>
      <c r="BO466"/>
      <c r="BP466"/>
      <c r="BQ466"/>
      <c r="BR466"/>
      <c r="BS466"/>
      <c r="BT466"/>
      <c r="BU466"/>
      <c r="BV466"/>
      <c r="BW466"/>
      <c r="BX466"/>
      <c r="BY466"/>
      <c r="BZ466"/>
      <c r="CA466"/>
      <c r="CB466"/>
      <c r="CC466"/>
      <c r="CD466"/>
      <c r="CE466"/>
      <c r="CF466"/>
      <c r="CG466"/>
    </row>
    <row r="467" spans="4:85" ht="15">
      <c r="D467" s="1"/>
      <c r="E467" s="1"/>
      <c r="F467" s="1"/>
      <c r="G467" s="1"/>
      <c r="H467" s="1"/>
      <c r="I467" s="1"/>
      <c r="R467"/>
      <c r="S467"/>
      <c r="T467"/>
      <c r="U467"/>
      <c r="V467"/>
      <c r="W467"/>
      <c r="X467"/>
      <c r="Y467"/>
      <c r="Z467"/>
      <c r="AA467"/>
      <c r="AJ467"/>
      <c r="AL467"/>
      <c r="AM467"/>
      <c r="AN467"/>
      <c r="AO467"/>
      <c r="AP467"/>
      <c r="AQ467"/>
      <c r="AR467"/>
      <c r="AS467"/>
      <c r="AT467"/>
      <c r="AU467"/>
      <c r="AV467"/>
      <c r="AW467"/>
      <c r="AX467"/>
      <c r="AY467"/>
      <c r="AZ467"/>
      <c r="BA467"/>
      <c r="BB467"/>
      <c r="BC467"/>
      <c r="BD467"/>
      <c r="BE467"/>
      <c r="BF467"/>
      <c r="BG467"/>
      <c r="BH467"/>
      <c r="BI467"/>
      <c r="BJ467"/>
      <c r="BK467"/>
      <c r="BL467"/>
      <c r="BM467"/>
      <c r="BN467"/>
      <c r="BO467"/>
      <c r="BP467"/>
      <c r="BQ467"/>
      <c r="BR467"/>
      <c r="BS467"/>
      <c r="BT467"/>
      <c r="BU467"/>
      <c r="BV467"/>
      <c r="BW467"/>
      <c r="BX467"/>
      <c r="BY467"/>
      <c r="BZ467"/>
      <c r="CA467"/>
      <c r="CB467"/>
      <c r="CC467"/>
      <c r="CD467"/>
      <c r="CE467"/>
      <c r="CF467"/>
      <c r="CG467"/>
    </row>
    <row r="468" spans="4:85" ht="15">
      <c r="D468" s="1"/>
      <c r="E468" s="1"/>
      <c r="F468" s="1"/>
      <c r="G468" s="1"/>
      <c r="H468" s="1"/>
      <c r="I468" s="1"/>
      <c r="R468"/>
      <c r="S468"/>
      <c r="T468"/>
      <c r="U468"/>
      <c r="V468"/>
      <c r="W468"/>
      <c r="X468"/>
      <c r="Y468"/>
      <c r="Z468"/>
      <c r="AA468"/>
      <c r="AJ468"/>
      <c r="AL468"/>
      <c r="AM468"/>
      <c r="AN468"/>
      <c r="AO468"/>
      <c r="AP468"/>
      <c r="AQ468"/>
      <c r="AR468"/>
      <c r="AS468"/>
      <c r="AT468"/>
      <c r="AU468"/>
      <c r="AV468"/>
      <c r="AW468"/>
      <c r="AX468"/>
      <c r="AY468"/>
      <c r="AZ468"/>
      <c r="BA468"/>
      <c r="BB468"/>
      <c r="BC468"/>
      <c r="BD468"/>
      <c r="BE468"/>
      <c r="BF468"/>
      <c r="BG468"/>
      <c r="BH468"/>
      <c r="BI468"/>
      <c r="BJ468"/>
      <c r="BK468"/>
      <c r="BL468"/>
      <c r="BM468"/>
      <c r="BN468"/>
      <c r="BO468"/>
      <c r="BP468"/>
      <c r="BQ468"/>
      <c r="BR468"/>
      <c r="BS468"/>
      <c r="BT468"/>
      <c r="BU468"/>
      <c r="BV468"/>
      <c r="BW468"/>
      <c r="BX468"/>
      <c r="BY468"/>
      <c r="BZ468"/>
      <c r="CA468"/>
      <c r="CB468"/>
      <c r="CC468"/>
      <c r="CD468"/>
      <c r="CE468"/>
      <c r="CF468"/>
      <c r="CG468"/>
    </row>
    <row r="469" spans="4:85" ht="15">
      <c r="D469" s="1"/>
      <c r="E469" s="1"/>
      <c r="F469" s="1"/>
      <c r="G469" s="1"/>
      <c r="H469" s="1"/>
      <c r="I469" s="1"/>
      <c r="R469"/>
      <c r="S469"/>
      <c r="T469"/>
      <c r="U469"/>
      <c r="V469"/>
      <c r="W469"/>
      <c r="X469"/>
      <c r="Y469"/>
      <c r="Z469"/>
      <c r="AA469"/>
      <c r="AJ469"/>
      <c r="AL469"/>
      <c r="AM469"/>
      <c r="AN469"/>
      <c r="AO469"/>
      <c r="AP469"/>
      <c r="AQ469"/>
      <c r="AR469"/>
      <c r="AS469"/>
      <c r="AT469"/>
      <c r="AU469"/>
      <c r="AV469"/>
      <c r="AW469"/>
      <c r="AX469"/>
      <c r="AY469"/>
      <c r="AZ469"/>
      <c r="BA469"/>
      <c r="BB469"/>
      <c r="BC469"/>
      <c r="BD469"/>
      <c r="BE469"/>
      <c r="BF469"/>
      <c r="BG469"/>
      <c r="BH469"/>
      <c r="BI469"/>
      <c r="BJ469"/>
      <c r="BK469"/>
      <c r="BL469"/>
      <c r="BM469"/>
      <c r="BN469"/>
      <c r="BO469"/>
      <c r="BP469"/>
      <c r="BQ469"/>
      <c r="BR469"/>
      <c r="BS469"/>
      <c r="BT469"/>
      <c r="BU469"/>
      <c r="BV469"/>
      <c r="BW469"/>
      <c r="BX469"/>
      <c r="BY469"/>
      <c r="BZ469"/>
      <c r="CA469"/>
      <c r="CB469"/>
      <c r="CC469"/>
      <c r="CD469"/>
      <c r="CE469"/>
      <c r="CF469"/>
      <c r="CG469"/>
    </row>
    <row r="470" spans="4:85" ht="15">
      <c r="D470" s="1"/>
      <c r="E470" s="1"/>
      <c r="F470" s="1"/>
      <c r="G470" s="1"/>
      <c r="H470" s="1"/>
      <c r="I470" s="1"/>
      <c r="R470"/>
      <c r="S470"/>
      <c r="T470"/>
      <c r="U470"/>
      <c r="V470"/>
      <c r="W470"/>
      <c r="X470"/>
      <c r="Y470"/>
      <c r="Z470"/>
      <c r="AA470"/>
      <c r="AJ470"/>
      <c r="AL470"/>
      <c r="AM470"/>
      <c r="AN470"/>
      <c r="AO470"/>
      <c r="AP470"/>
      <c r="AQ470"/>
      <c r="AR470"/>
      <c r="AS470"/>
      <c r="AT470"/>
      <c r="AU470"/>
      <c r="AV470"/>
      <c r="AW470"/>
      <c r="AX470"/>
      <c r="AY470"/>
      <c r="AZ470"/>
      <c r="BA470"/>
      <c r="BB470"/>
      <c r="BC470"/>
      <c r="BD470"/>
      <c r="BE470"/>
      <c r="BF470"/>
      <c r="BG470"/>
      <c r="BH470"/>
      <c r="BI470"/>
      <c r="BJ470"/>
      <c r="BK470"/>
      <c r="BL470"/>
      <c r="BM470"/>
      <c r="BN470"/>
      <c r="BO470"/>
      <c r="BP470"/>
      <c r="BQ470"/>
      <c r="BR470"/>
      <c r="BS470"/>
      <c r="BT470"/>
      <c r="BU470"/>
      <c r="BV470"/>
      <c r="BW470"/>
      <c r="BX470"/>
      <c r="BY470"/>
      <c r="BZ470"/>
      <c r="CA470"/>
      <c r="CB470"/>
      <c r="CC470"/>
      <c r="CD470"/>
      <c r="CE470"/>
      <c r="CF470"/>
      <c r="CG470"/>
    </row>
    <row r="471" spans="4:85" ht="15">
      <c r="D471" s="1"/>
      <c r="E471" s="1"/>
      <c r="F471" s="1"/>
      <c r="G471" s="1"/>
      <c r="H471" s="1"/>
      <c r="I471" s="1"/>
      <c r="R471"/>
      <c r="S471"/>
      <c r="T471"/>
      <c r="U471"/>
      <c r="V471"/>
      <c r="W471"/>
      <c r="X471"/>
      <c r="Y471"/>
      <c r="Z471"/>
      <c r="AA471"/>
      <c r="AJ471"/>
      <c r="AL471"/>
      <c r="AM471"/>
      <c r="AN471"/>
      <c r="AO471"/>
      <c r="AP471"/>
      <c r="AQ471"/>
      <c r="AR471"/>
      <c r="AS471"/>
      <c r="AT471"/>
      <c r="AU471"/>
      <c r="AV471"/>
      <c r="AW471"/>
      <c r="AX471"/>
      <c r="AY471"/>
      <c r="AZ471"/>
      <c r="BA471"/>
      <c r="BB471"/>
      <c r="BC471"/>
      <c r="BD471"/>
      <c r="BE471"/>
      <c r="BF471"/>
      <c r="BG471"/>
      <c r="BH471"/>
      <c r="BI471"/>
      <c r="BJ471"/>
      <c r="BK471"/>
      <c r="BL471"/>
      <c r="BM471"/>
      <c r="BN471"/>
      <c r="BO471"/>
      <c r="BP471"/>
      <c r="BQ471"/>
      <c r="BR471"/>
      <c r="BS471"/>
      <c r="BT471"/>
      <c r="BU471"/>
      <c r="BV471"/>
      <c r="BW471"/>
      <c r="BX471"/>
      <c r="BY471"/>
      <c r="BZ471"/>
      <c r="CA471"/>
      <c r="CB471"/>
      <c r="CC471"/>
      <c r="CD471"/>
      <c r="CE471"/>
      <c r="CF471"/>
      <c r="CG471"/>
    </row>
    <row r="472" spans="4:85" ht="15">
      <c r="D472" s="1"/>
      <c r="E472" s="1"/>
      <c r="F472" s="1"/>
      <c r="G472" s="1"/>
      <c r="H472" s="1"/>
      <c r="I472" s="1"/>
      <c r="R472"/>
      <c r="S472"/>
      <c r="T472"/>
      <c r="U472"/>
      <c r="V472"/>
      <c r="W472"/>
      <c r="X472"/>
      <c r="Y472"/>
      <c r="Z472"/>
      <c r="AA472"/>
      <c r="AJ472"/>
      <c r="AL472"/>
      <c r="AM472"/>
      <c r="AN472"/>
      <c r="AO472"/>
      <c r="AP472"/>
      <c r="AQ472"/>
      <c r="AR472"/>
      <c r="AS472"/>
      <c r="AT472"/>
      <c r="AU472"/>
      <c r="AV472"/>
      <c r="AW472"/>
      <c r="AX472"/>
      <c r="AY472"/>
      <c r="AZ472"/>
      <c r="BA472"/>
      <c r="BB472"/>
      <c r="BC472"/>
      <c r="BD472"/>
      <c r="BE472"/>
      <c r="BF472"/>
      <c r="BG472"/>
      <c r="BH472"/>
      <c r="BI472"/>
      <c r="BJ472"/>
      <c r="BK472"/>
      <c r="BL472"/>
      <c r="BM472"/>
      <c r="BN472"/>
      <c r="BO472"/>
      <c r="BP472"/>
      <c r="BQ472"/>
      <c r="BR472"/>
      <c r="BS472"/>
      <c r="BT472"/>
      <c r="BU472"/>
      <c r="BV472"/>
      <c r="BW472"/>
      <c r="BX472"/>
      <c r="BY472"/>
      <c r="BZ472"/>
      <c r="CA472"/>
      <c r="CB472"/>
      <c r="CC472"/>
      <c r="CD472"/>
      <c r="CE472"/>
      <c r="CF472"/>
      <c r="CG472"/>
    </row>
    <row r="473" spans="4:85" ht="15">
      <c r="D473" s="1"/>
      <c r="E473" s="1"/>
      <c r="F473" s="1"/>
      <c r="G473" s="1"/>
      <c r="H473" s="1"/>
      <c r="I473" s="1"/>
      <c r="R473"/>
      <c r="S473"/>
      <c r="T473"/>
      <c r="U473"/>
      <c r="V473"/>
      <c r="W473"/>
      <c r="X473"/>
      <c r="Y473"/>
      <c r="Z473"/>
      <c r="AA473"/>
      <c r="AJ473"/>
      <c r="AL473"/>
      <c r="AM473"/>
      <c r="AN473"/>
      <c r="AO473"/>
      <c r="AP473"/>
      <c r="AQ473"/>
      <c r="AR473"/>
      <c r="AS473"/>
      <c r="AT473"/>
      <c r="AU473"/>
      <c r="AV473"/>
      <c r="AW473"/>
      <c r="AX473"/>
      <c r="AY473"/>
      <c r="AZ473"/>
      <c r="BA473"/>
      <c r="BB473"/>
      <c r="BC473"/>
      <c r="BD473"/>
      <c r="BE473"/>
      <c r="BF473"/>
      <c r="BG473"/>
      <c r="BH473"/>
      <c r="BI473"/>
      <c r="BJ473"/>
      <c r="BK473"/>
      <c r="BL473"/>
      <c r="BM473"/>
      <c r="BN473"/>
      <c r="BO473"/>
      <c r="BP473"/>
      <c r="BQ473"/>
      <c r="BR473"/>
      <c r="BS473"/>
      <c r="BT473"/>
      <c r="BU473"/>
      <c r="BV473"/>
      <c r="BW473"/>
      <c r="BX473"/>
      <c r="BY473"/>
      <c r="BZ473"/>
      <c r="CA473"/>
      <c r="CB473"/>
      <c r="CC473"/>
      <c r="CD473"/>
      <c r="CE473"/>
      <c r="CF473"/>
      <c r="CG473"/>
    </row>
    <row r="474" spans="4:85" ht="15">
      <c r="D474" s="1"/>
      <c r="E474" s="1"/>
      <c r="F474" s="1"/>
      <c r="G474" s="1"/>
      <c r="H474" s="1"/>
      <c r="I474" s="1"/>
      <c r="R474"/>
      <c r="S474"/>
      <c r="T474"/>
      <c r="U474"/>
      <c r="V474"/>
      <c r="W474"/>
      <c r="X474"/>
      <c r="Y474"/>
      <c r="Z474"/>
      <c r="AA474"/>
      <c r="AJ474"/>
      <c r="AL474"/>
      <c r="AM474"/>
      <c r="AN474"/>
      <c r="AO474"/>
      <c r="AP474"/>
      <c r="AQ474"/>
      <c r="AR474"/>
      <c r="AS474"/>
      <c r="AT474"/>
      <c r="AU474"/>
      <c r="AV474"/>
      <c r="AW474"/>
      <c r="AX474"/>
      <c r="AY474"/>
      <c r="AZ474"/>
      <c r="BA474"/>
      <c r="BB474"/>
      <c r="BC474"/>
      <c r="BD474"/>
      <c r="BE474"/>
      <c r="BF474"/>
      <c r="BG474"/>
      <c r="BH474"/>
      <c r="BI474"/>
      <c r="BJ474"/>
      <c r="BK474"/>
      <c r="BL474"/>
      <c r="BM474"/>
      <c r="BN474"/>
      <c r="BO474"/>
      <c r="BP474"/>
      <c r="BQ474"/>
      <c r="BR474"/>
      <c r="BS474"/>
      <c r="BT474"/>
      <c r="BU474"/>
      <c r="BV474"/>
      <c r="BW474"/>
      <c r="BX474"/>
      <c r="BY474"/>
      <c r="BZ474"/>
      <c r="CA474"/>
      <c r="CB474"/>
      <c r="CC474"/>
      <c r="CD474"/>
      <c r="CE474"/>
      <c r="CF474"/>
      <c r="CG474"/>
    </row>
    <row r="475" spans="4:85" ht="15">
      <c r="D475" s="1"/>
      <c r="E475" s="1"/>
      <c r="F475" s="1"/>
      <c r="G475" s="1"/>
      <c r="H475" s="1"/>
      <c r="I475" s="1"/>
      <c r="R475"/>
      <c r="S475"/>
      <c r="T475"/>
      <c r="U475"/>
      <c r="V475"/>
      <c r="W475"/>
      <c r="X475"/>
      <c r="Y475"/>
      <c r="Z475"/>
      <c r="AA475"/>
      <c r="AJ475"/>
      <c r="AL475"/>
      <c r="AM475"/>
      <c r="AN475"/>
      <c r="AO475"/>
      <c r="AP475"/>
      <c r="AQ475"/>
      <c r="AR475"/>
      <c r="AS475"/>
      <c r="AT475"/>
      <c r="AU475"/>
      <c r="AV475"/>
      <c r="AW475"/>
      <c r="AX475"/>
      <c r="AY475"/>
      <c r="AZ475"/>
      <c r="BA475"/>
      <c r="BB475"/>
      <c r="BC475"/>
      <c r="BD475"/>
      <c r="BE475"/>
      <c r="BF475"/>
      <c r="BG475"/>
      <c r="BH475"/>
      <c r="BI475"/>
      <c r="BJ475"/>
      <c r="BK475"/>
      <c r="BL475"/>
      <c r="BM475"/>
      <c r="BN475"/>
      <c r="BO475"/>
      <c r="BP475"/>
      <c r="BQ475"/>
      <c r="BR475"/>
      <c r="BS475"/>
      <c r="BT475"/>
      <c r="BU475"/>
      <c r="BV475"/>
      <c r="BW475"/>
      <c r="BX475"/>
      <c r="BY475"/>
      <c r="BZ475"/>
      <c r="CA475"/>
      <c r="CB475"/>
      <c r="CC475"/>
      <c r="CD475"/>
      <c r="CE475"/>
      <c r="CF475"/>
      <c r="CG475"/>
    </row>
    <row r="476" spans="4:85" ht="15">
      <c r="D476" s="1"/>
      <c r="E476" s="1"/>
      <c r="F476" s="1"/>
      <c r="G476" s="1"/>
      <c r="H476" s="1"/>
      <c r="I476" s="1"/>
      <c r="R476"/>
      <c r="S476"/>
      <c r="T476"/>
      <c r="U476"/>
      <c r="V476"/>
      <c r="W476"/>
      <c r="X476"/>
      <c r="Y476"/>
      <c r="Z476"/>
      <c r="AA476"/>
      <c r="AJ476"/>
      <c r="AL476"/>
      <c r="AM476"/>
      <c r="AN476"/>
      <c r="AO476"/>
      <c r="AP476"/>
      <c r="AQ476"/>
      <c r="AR476"/>
      <c r="AS476"/>
      <c r="AT476"/>
      <c r="AU476"/>
      <c r="AV476"/>
      <c r="AW476"/>
      <c r="AX476"/>
      <c r="AY476"/>
      <c r="AZ476"/>
      <c r="BA476"/>
      <c r="BB476"/>
      <c r="BC476"/>
      <c r="BD476"/>
      <c r="BE476"/>
      <c r="BF476"/>
      <c r="BG476"/>
      <c r="BH476"/>
      <c r="BI476"/>
      <c r="BJ476"/>
      <c r="BK476"/>
      <c r="BL476"/>
      <c r="BM476"/>
      <c r="BN476"/>
      <c r="BO476"/>
      <c r="BP476"/>
      <c r="BQ476"/>
      <c r="BR476"/>
      <c r="BS476"/>
      <c r="BT476"/>
      <c r="BU476"/>
      <c r="BV476"/>
      <c r="BW476"/>
      <c r="BX476"/>
      <c r="BY476"/>
      <c r="BZ476"/>
      <c r="CA476"/>
      <c r="CB476"/>
      <c r="CC476"/>
      <c r="CD476"/>
      <c r="CE476"/>
      <c r="CF476"/>
      <c r="CG476"/>
    </row>
    <row r="477" spans="4:85" ht="15">
      <c r="D477" s="1"/>
      <c r="E477" s="1"/>
      <c r="F477" s="1"/>
      <c r="G477" s="1"/>
      <c r="H477" s="1"/>
      <c r="I477" s="1"/>
      <c r="R477"/>
      <c r="S477"/>
      <c r="T477"/>
      <c r="U477"/>
      <c r="V477"/>
      <c r="W477"/>
      <c r="X477"/>
      <c r="Y477"/>
      <c r="Z477"/>
      <c r="AA477"/>
      <c r="AJ477"/>
      <c r="AL477"/>
      <c r="AM477"/>
      <c r="AN477"/>
      <c r="AO477"/>
      <c r="AP477"/>
      <c r="AQ477"/>
      <c r="AR477"/>
      <c r="AS477"/>
      <c r="AT477"/>
      <c r="AU477"/>
      <c r="AV477"/>
      <c r="AW477"/>
      <c r="AX477"/>
      <c r="AY477"/>
      <c r="AZ477"/>
      <c r="BA477"/>
      <c r="BB477"/>
      <c r="BC477"/>
      <c r="BD477"/>
      <c r="BE477"/>
      <c r="BF477"/>
      <c r="BG477"/>
      <c r="BH477"/>
      <c r="BI477"/>
      <c r="BJ477"/>
      <c r="BK477"/>
      <c r="BL477"/>
      <c r="BM477"/>
      <c r="BN477"/>
      <c r="BO477"/>
      <c r="BP477"/>
      <c r="BQ477"/>
      <c r="BR477"/>
      <c r="BS477"/>
      <c r="BT477"/>
      <c r="BU477"/>
      <c r="BV477"/>
      <c r="BW477"/>
      <c r="BX477"/>
      <c r="BY477"/>
      <c r="BZ477"/>
      <c r="CA477"/>
      <c r="CB477"/>
      <c r="CC477"/>
      <c r="CD477"/>
      <c r="CE477"/>
      <c r="CF477"/>
      <c r="CG477"/>
    </row>
    <row r="478" spans="4:85" ht="15">
      <c r="D478" s="1"/>
      <c r="E478" s="1"/>
      <c r="F478" s="1"/>
      <c r="G478" s="1"/>
      <c r="H478" s="1"/>
      <c r="I478" s="1"/>
      <c r="R478"/>
      <c r="S478"/>
      <c r="T478"/>
      <c r="U478"/>
      <c r="V478"/>
      <c r="W478"/>
      <c r="X478"/>
      <c r="Y478"/>
      <c r="Z478"/>
      <c r="AA478"/>
      <c r="AJ478"/>
      <c r="AL478"/>
      <c r="AM478"/>
      <c r="AN478"/>
      <c r="AO478"/>
      <c r="AP478"/>
      <c r="AQ478"/>
      <c r="AR478"/>
      <c r="AS478"/>
      <c r="AT478"/>
      <c r="AU478"/>
      <c r="AV478"/>
      <c r="AW478"/>
      <c r="AX478"/>
      <c r="AY478"/>
      <c r="AZ478"/>
      <c r="BA478"/>
      <c r="BB478"/>
      <c r="BC478"/>
      <c r="BD478"/>
      <c r="BE478"/>
      <c r="BF478"/>
      <c r="BG478"/>
      <c r="BH478"/>
      <c r="BI478"/>
      <c r="BJ478"/>
      <c r="BK478"/>
      <c r="BL478"/>
      <c r="BM478"/>
      <c r="BN478"/>
      <c r="BO478"/>
      <c r="BP478"/>
      <c r="BQ478"/>
      <c r="BR478"/>
      <c r="BS478"/>
      <c r="BT478"/>
      <c r="BU478"/>
      <c r="BV478"/>
      <c r="BW478"/>
      <c r="BX478"/>
      <c r="BY478"/>
      <c r="BZ478"/>
      <c r="CA478"/>
      <c r="CB478"/>
      <c r="CC478"/>
      <c r="CD478"/>
      <c r="CE478"/>
      <c r="CF478"/>
      <c r="CG478"/>
    </row>
    <row r="479" spans="4:85" ht="15">
      <c r="D479" s="1"/>
      <c r="E479" s="1"/>
      <c r="F479" s="1"/>
      <c r="G479" s="1"/>
      <c r="H479" s="1"/>
      <c r="I479" s="1"/>
      <c r="R479"/>
      <c r="S479"/>
      <c r="T479"/>
      <c r="U479"/>
      <c r="V479"/>
      <c r="W479"/>
      <c r="X479"/>
      <c r="Y479"/>
      <c r="Z479"/>
      <c r="AA479"/>
      <c r="AJ479"/>
      <c r="AL479"/>
      <c r="AM479"/>
      <c r="AN479"/>
      <c r="AO479"/>
      <c r="AP479"/>
      <c r="AQ479"/>
      <c r="AR479"/>
      <c r="AS479"/>
      <c r="AT479"/>
      <c r="AU479"/>
      <c r="AV479"/>
      <c r="AW479"/>
      <c r="AX479"/>
      <c r="AY479"/>
      <c r="AZ479"/>
      <c r="BA479"/>
      <c r="BB479"/>
      <c r="BC479"/>
      <c r="BD479"/>
      <c r="BE479"/>
      <c r="BF479"/>
      <c r="BG479"/>
      <c r="BH479"/>
      <c r="BI479"/>
      <c r="BJ479"/>
      <c r="BK479"/>
      <c r="BL479"/>
      <c r="BM479"/>
      <c r="BN479"/>
      <c r="BO479"/>
      <c r="BP479"/>
      <c r="BQ479"/>
      <c r="BR479"/>
      <c r="BS479"/>
      <c r="BT479"/>
      <c r="BU479"/>
      <c r="BV479"/>
      <c r="BW479"/>
      <c r="BX479"/>
      <c r="BY479"/>
      <c r="BZ479"/>
      <c r="CA479"/>
      <c r="CB479"/>
      <c r="CC479"/>
      <c r="CD479"/>
      <c r="CE479"/>
      <c r="CF479"/>
      <c r="CG479"/>
    </row>
    <row r="480" spans="4:85" ht="15">
      <c r="D480" s="1"/>
      <c r="E480" s="1"/>
      <c r="F480" s="1"/>
      <c r="G480" s="1"/>
      <c r="H480" s="1"/>
      <c r="I480" s="1"/>
      <c r="R480"/>
      <c r="S480"/>
      <c r="T480"/>
      <c r="U480"/>
      <c r="V480"/>
      <c r="W480"/>
      <c r="X480"/>
      <c r="Y480"/>
      <c r="Z480"/>
      <c r="AA480"/>
      <c r="AJ480"/>
      <c r="AL480"/>
      <c r="AM480"/>
      <c r="AN480"/>
      <c r="AO480"/>
      <c r="AP480"/>
      <c r="AQ480"/>
      <c r="AR480"/>
      <c r="AS480"/>
      <c r="AT480"/>
      <c r="AU480"/>
      <c r="AV480"/>
      <c r="AW480"/>
      <c r="AX480"/>
      <c r="AY480"/>
      <c r="AZ480"/>
      <c r="BA480"/>
      <c r="BB480"/>
      <c r="BC480"/>
      <c r="BD480"/>
      <c r="BE480"/>
      <c r="BF480"/>
      <c r="BG480"/>
      <c r="BH480"/>
      <c r="BI480"/>
      <c r="BJ480"/>
      <c r="BK480"/>
      <c r="BL480"/>
      <c r="BM480"/>
      <c r="BN480"/>
      <c r="BO480"/>
      <c r="BP480"/>
      <c r="BQ480"/>
      <c r="BR480"/>
      <c r="BS480"/>
      <c r="BT480"/>
      <c r="BU480"/>
      <c r="BV480"/>
      <c r="BW480"/>
      <c r="BX480"/>
      <c r="BY480"/>
      <c r="BZ480"/>
      <c r="CA480"/>
      <c r="CB480"/>
      <c r="CC480"/>
      <c r="CD480"/>
      <c r="CE480"/>
      <c r="CF480"/>
      <c r="CG480"/>
    </row>
    <row r="481" spans="4:85" ht="15">
      <c r="D481" s="1"/>
      <c r="E481" s="1"/>
      <c r="F481" s="1"/>
      <c r="G481" s="1"/>
      <c r="H481" s="1"/>
      <c r="I481" s="1"/>
      <c r="R481"/>
      <c r="S481"/>
      <c r="T481"/>
      <c r="U481"/>
      <c r="V481"/>
      <c r="W481"/>
      <c r="X481"/>
      <c r="Y481"/>
      <c r="Z481"/>
      <c r="AA481"/>
      <c r="AJ481"/>
      <c r="AL481"/>
      <c r="AM481"/>
      <c r="AN481"/>
      <c r="AO481"/>
      <c r="AP481"/>
      <c r="AQ481"/>
      <c r="AR481"/>
      <c r="AS481"/>
      <c r="AT481"/>
      <c r="AU481"/>
      <c r="AV481"/>
      <c r="AW481"/>
      <c r="AX481"/>
      <c r="AY481"/>
      <c r="AZ481"/>
      <c r="BA481"/>
      <c r="BB481"/>
      <c r="BC481"/>
      <c r="BD481"/>
      <c r="BE481"/>
      <c r="BF481"/>
      <c r="BG481"/>
      <c r="BH481"/>
      <c r="BI481"/>
      <c r="BJ481"/>
      <c r="BK481"/>
      <c r="BL481"/>
      <c r="BM481"/>
      <c r="BN481"/>
      <c r="BO481"/>
      <c r="BP481"/>
      <c r="BQ481"/>
      <c r="BR481"/>
      <c r="BS481"/>
      <c r="BT481"/>
      <c r="BU481"/>
      <c r="BV481"/>
      <c r="BW481"/>
      <c r="BX481"/>
      <c r="BY481"/>
      <c r="BZ481"/>
      <c r="CA481"/>
      <c r="CB481"/>
      <c r="CC481"/>
      <c r="CD481"/>
      <c r="CE481"/>
      <c r="CF481"/>
      <c r="CG481"/>
    </row>
    <row r="482" spans="4:85" ht="15">
      <c r="D482" s="1"/>
      <c r="E482" s="1"/>
      <c r="F482" s="1"/>
      <c r="G482" s="1"/>
      <c r="H482" s="1"/>
      <c r="I482" s="1"/>
      <c r="R482"/>
      <c r="S482"/>
      <c r="T482"/>
      <c r="U482"/>
      <c r="V482"/>
      <c r="W482"/>
      <c r="X482"/>
      <c r="Y482"/>
      <c r="Z482"/>
      <c r="AA482"/>
      <c r="AJ482"/>
      <c r="AL482"/>
      <c r="AM482"/>
      <c r="AN482"/>
      <c r="AO482"/>
      <c r="AP482"/>
      <c r="AQ482"/>
      <c r="AR482"/>
      <c r="AS482"/>
      <c r="AT482"/>
      <c r="AU482"/>
      <c r="AV482"/>
      <c r="AW482"/>
      <c r="AX482"/>
      <c r="AY482"/>
      <c r="AZ482"/>
      <c r="BA482"/>
      <c r="BB482"/>
      <c r="BC482"/>
      <c r="BD482"/>
      <c r="BE482"/>
      <c r="BF482"/>
      <c r="BG482"/>
      <c r="BH482"/>
      <c r="BI482"/>
      <c r="BJ482"/>
      <c r="BK482"/>
      <c r="BL482"/>
      <c r="BM482"/>
      <c r="BN482"/>
      <c r="BO482"/>
      <c r="BP482"/>
      <c r="BQ482"/>
      <c r="BR482"/>
      <c r="BS482"/>
      <c r="BT482"/>
      <c r="BU482"/>
      <c r="BV482"/>
      <c r="BW482"/>
      <c r="BX482"/>
      <c r="BY482"/>
      <c r="BZ482"/>
      <c r="CA482"/>
      <c r="CB482"/>
      <c r="CC482"/>
      <c r="CD482"/>
      <c r="CE482"/>
      <c r="CF482"/>
      <c r="CG482"/>
    </row>
    <row r="483" spans="4:85" ht="15">
      <c r="D483" s="1"/>
      <c r="E483" s="1"/>
      <c r="F483" s="1"/>
      <c r="G483" s="1"/>
      <c r="H483" s="1"/>
      <c r="I483" s="1"/>
      <c r="R483"/>
      <c r="S483"/>
      <c r="T483"/>
      <c r="U483"/>
      <c r="V483"/>
      <c r="W483"/>
      <c r="X483"/>
      <c r="Y483"/>
      <c r="Z483"/>
      <c r="AA483"/>
      <c r="AJ483"/>
      <c r="AL483"/>
      <c r="AM483"/>
      <c r="AN483"/>
      <c r="AO483"/>
      <c r="AP483"/>
      <c r="AQ483"/>
      <c r="AR483"/>
      <c r="AS483"/>
      <c r="AT483"/>
      <c r="AU483"/>
      <c r="AV483"/>
      <c r="AW483"/>
      <c r="AX483"/>
      <c r="AY483"/>
      <c r="AZ483"/>
      <c r="BA483"/>
      <c r="BB483"/>
      <c r="BC483"/>
      <c r="BD483"/>
      <c r="BE483"/>
      <c r="BF483"/>
      <c r="BG483"/>
      <c r="BH483"/>
      <c r="BI483"/>
      <c r="BJ483"/>
      <c r="BK483"/>
      <c r="BL483"/>
      <c r="BM483"/>
      <c r="BN483"/>
      <c r="BO483"/>
      <c r="BP483"/>
      <c r="BQ483"/>
      <c r="BR483"/>
      <c r="BS483"/>
      <c r="BT483"/>
      <c r="BU483"/>
      <c r="BV483"/>
      <c r="BW483"/>
      <c r="BX483"/>
      <c r="BY483"/>
      <c r="BZ483"/>
      <c r="CA483"/>
      <c r="CB483"/>
      <c r="CC483"/>
      <c r="CD483"/>
      <c r="CE483"/>
      <c r="CF483"/>
      <c r="CG483"/>
    </row>
    <row r="484" spans="4:85" ht="15">
      <c r="D484" s="1"/>
      <c r="E484" s="1"/>
      <c r="F484" s="1"/>
      <c r="G484" s="1"/>
      <c r="H484" s="1"/>
      <c r="I484" s="1"/>
      <c r="R484"/>
      <c r="S484"/>
      <c r="T484"/>
      <c r="U484"/>
      <c r="V484"/>
      <c r="W484"/>
      <c r="X484"/>
      <c r="Y484"/>
      <c r="Z484"/>
      <c r="AA484"/>
      <c r="AJ484"/>
      <c r="AL484"/>
      <c r="AM484"/>
      <c r="AN484"/>
      <c r="AO484"/>
      <c r="AP484"/>
      <c r="AQ484"/>
      <c r="AR484"/>
      <c r="AS484"/>
      <c r="AT484"/>
      <c r="AU484"/>
      <c r="AV484"/>
      <c r="AW484"/>
      <c r="AX484"/>
      <c r="AY484"/>
      <c r="AZ484"/>
      <c r="BA484"/>
      <c r="BB484"/>
      <c r="BC484"/>
      <c r="BD484"/>
      <c r="BE484"/>
      <c r="BF484"/>
      <c r="BG484"/>
      <c r="BH484"/>
      <c r="BI484"/>
      <c r="BJ484"/>
      <c r="BK484"/>
      <c r="BL484"/>
      <c r="BM484"/>
      <c r="BN484"/>
      <c r="BO484"/>
      <c r="BP484"/>
      <c r="BQ484"/>
      <c r="BR484"/>
      <c r="BS484"/>
      <c r="BT484"/>
      <c r="BU484"/>
      <c r="BV484"/>
      <c r="BW484"/>
      <c r="BX484"/>
      <c r="BY484"/>
      <c r="BZ484"/>
      <c r="CA484"/>
      <c r="CB484"/>
      <c r="CC484"/>
      <c r="CD484"/>
      <c r="CE484"/>
      <c r="CF484"/>
      <c r="CG484"/>
    </row>
    <row r="485" spans="4:85" ht="15">
      <c r="D485" s="1"/>
      <c r="E485" s="1"/>
      <c r="F485" s="1"/>
      <c r="G485" s="1"/>
      <c r="H485" s="1"/>
      <c r="I485" s="1"/>
      <c r="R485"/>
      <c r="S485"/>
      <c r="T485"/>
      <c r="U485"/>
      <c r="V485"/>
      <c r="W485"/>
      <c r="X485"/>
      <c r="Y485"/>
      <c r="Z485"/>
      <c r="AA485"/>
      <c r="AJ485"/>
      <c r="AL485"/>
      <c r="AM485"/>
      <c r="AN485"/>
      <c r="AO485"/>
      <c r="AP485"/>
      <c r="AQ485"/>
      <c r="AR485"/>
      <c r="AS485"/>
      <c r="AT485"/>
      <c r="AU485"/>
      <c r="AV485"/>
      <c r="AW485"/>
      <c r="AX485"/>
      <c r="AY485"/>
      <c r="AZ485"/>
      <c r="BA485"/>
      <c r="BB485"/>
      <c r="BC485"/>
      <c r="BD485"/>
      <c r="BE485"/>
      <c r="BF485"/>
      <c r="BG485"/>
      <c r="BH485"/>
      <c r="BI485"/>
      <c r="BJ485"/>
      <c r="BK485"/>
      <c r="BL485"/>
      <c r="BM485"/>
      <c r="BN485"/>
      <c r="BO485"/>
      <c r="BP485"/>
      <c r="BQ485"/>
      <c r="BR485"/>
      <c r="BS485"/>
      <c r="BT485"/>
      <c r="BU485"/>
      <c r="BV485"/>
      <c r="BW485"/>
      <c r="BX485"/>
      <c r="BY485"/>
      <c r="BZ485"/>
      <c r="CA485"/>
      <c r="CB485"/>
      <c r="CC485"/>
      <c r="CD485"/>
      <c r="CE485"/>
      <c r="CF485"/>
      <c r="CG485"/>
    </row>
    <row r="486" spans="4:85" ht="15">
      <c r="D486" s="1"/>
      <c r="E486" s="1"/>
      <c r="F486" s="1"/>
      <c r="G486" s="1"/>
      <c r="H486" s="1"/>
      <c r="I486" s="1"/>
      <c r="R486"/>
      <c r="S486"/>
      <c r="T486"/>
      <c r="U486"/>
      <c r="V486"/>
      <c r="W486"/>
      <c r="X486"/>
      <c r="Y486"/>
      <c r="Z486"/>
      <c r="AA486"/>
      <c r="AJ486"/>
      <c r="AL486"/>
      <c r="AM486"/>
      <c r="AN486"/>
      <c r="AO486"/>
      <c r="AP486"/>
      <c r="AQ486"/>
      <c r="AR486"/>
      <c r="AS486"/>
      <c r="AT486"/>
      <c r="AU486"/>
      <c r="AV486"/>
      <c r="AW486"/>
      <c r="AX486"/>
      <c r="AY486"/>
      <c r="AZ486"/>
      <c r="BA486"/>
      <c r="BB486"/>
      <c r="BC486"/>
      <c r="BD486"/>
      <c r="BE486"/>
      <c r="BF486"/>
      <c r="BG486"/>
      <c r="BH486"/>
      <c r="BI486"/>
      <c r="BJ486"/>
      <c r="BK486"/>
      <c r="BL486"/>
      <c r="BM486"/>
      <c r="BN486"/>
      <c r="BO486"/>
      <c r="BP486"/>
      <c r="BQ486"/>
      <c r="BR486"/>
      <c r="BS486"/>
      <c r="BT486"/>
      <c r="BU486"/>
      <c r="BV486"/>
      <c r="BW486"/>
      <c r="BX486"/>
      <c r="BY486"/>
      <c r="BZ486"/>
      <c r="CA486"/>
      <c r="CB486"/>
      <c r="CC486"/>
      <c r="CD486"/>
      <c r="CE486"/>
      <c r="CF486"/>
      <c r="CG486"/>
    </row>
    <row r="487" spans="4:85" ht="15">
      <c r="D487" s="1"/>
      <c r="E487" s="1"/>
      <c r="F487" s="1"/>
      <c r="G487" s="1"/>
      <c r="H487" s="1"/>
      <c r="I487" s="1"/>
      <c r="R487"/>
      <c r="S487"/>
      <c r="T487"/>
      <c r="U487"/>
      <c r="V487"/>
      <c r="W487"/>
      <c r="X487"/>
      <c r="Y487"/>
      <c r="Z487"/>
      <c r="AA487"/>
      <c r="AJ487"/>
      <c r="AL487"/>
      <c r="AM487"/>
      <c r="AN487"/>
      <c r="AO487"/>
      <c r="AP487"/>
      <c r="AQ487"/>
      <c r="AR487"/>
      <c r="AS487"/>
      <c r="AT487"/>
      <c r="AU487"/>
      <c r="AV487"/>
      <c r="AW487"/>
      <c r="AX487"/>
      <c r="AY487"/>
      <c r="AZ487"/>
      <c r="BA487"/>
      <c r="BB487"/>
      <c r="BC487"/>
      <c r="BD487"/>
      <c r="BE487"/>
      <c r="BF487"/>
      <c r="BG487"/>
      <c r="BH487"/>
      <c r="BI487"/>
      <c r="BJ487"/>
      <c r="BK487"/>
      <c r="BL487"/>
      <c r="BM487"/>
      <c r="BN487"/>
      <c r="BO487"/>
      <c r="BP487"/>
      <c r="BQ487"/>
      <c r="BR487"/>
      <c r="BS487"/>
      <c r="BT487"/>
      <c r="BU487"/>
      <c r="BV487"/>
      <c r="BW487"/>
      <c r="BX487"/>
      <c r="BY487"/>
      <c r="BZ487"/>
      <c r="CA487"/>
      <c r="CB487"/>
      <c r="CC487"/>
      <c r="CD487"/>
      <c r="CE487"/>
      <c r="CF487"/>
      <c r="CG487"/>
    </row>
    <row r="488" spans="4:85" ht="15">
      <c r="D488" s="1"/>
      <c r="E488" s="1"/>
      <c r="F488" s="1"/>
      <c r="G488" s="1"/>
      <c r="H488" s="1"/>
      <c r="I488" s="1"/>
      <c r="R488"/>
      <c r="S488"/>
      <c r="T488"/>
      <c r="U488"/>
      <c r="V488"/>
      <c r="W488"/>
      <c r="X488"/>
      <c r="Y488"/>
      <c r="Z488"/>
      <c r="AA488"/>
      <c r="AJ488"/>
      <c r="AL488"/>
      <c r="AM488"/>
      <c r="AN488"/>
      <c r="AO488"/>
      <c r="AP488"/>
      <c r="AQ488"/>
      <c r="AR488"/>
      <c r="AS488"/>
      <c r="AT488"/>
      <c r="AU488"/>
      <c r="AV488"/>
      <c r="AW488"/>
      <c r="AX488"/>
      <c r="AY488"/>
      <c r="AZ488"/>
      <c r="BA488"/>
      <c r="BB488"/>
      <c r="BC488"/>
      <c r="BD488"/>
      <c r="BE488"/>
      <c r="BF488"/>
      <c r="BG488"/>
      <c r="BH488"/>
      <c r="BI488"/>
      <c r="BJ488"/>
      <c r="BK488"/>
      <c r="BL488"/>
      <c r="BM488"/>
      <c r="BN488"/>
      <c r="BO488"/>
      <c r="BP488"/>
      <c r="BQ488"/>
      <c r="BR488"/>
      <c r="BS488"/>
      <c r="BT488"/>
      <c r="BU488"/>
      <c r="BV488"/>
      <c r="BW488"/>
      <c r="BX488"/>
      <c r="BY488"/>
      <c r="BZ488"/>
      <c r="CA488"/>
      <c r="CB488"/>
      <c r="CC488"/>
      <c r="CD488"/>
      <c r="CE488"/>
      <c r="CF488"/>
      <c r="CG488"/>
    </row>
    <row r="489" spans="4:85" ht="15">
      <c r="D489" s="1"/>
      <c r="E489" s="1"/>
      <c r="F489" s="1"/>
      <c r="G489" s="1"/>
      <c r="H489" s="1"/>
      <c r="I489" s="1"/>
      <c r="R489"/>
      <c r="S489"/>
      <c r="T489"/>
      <c r="U489"/>
      <c r="V489"/>
      <c r="W489"/>
      <c r="X489"/>
      <c r="Y489"/>
      <c r="Z489"/>
      <c r="AA489"/>
      <c r="AJ489"/>
      <c r="AL489"/>
      <c r="AM489"/>
      <c r="AN489"/>
      <c r="AO489"/>
      <c r="AP489"/>
      <c r="AQ489"/>
      <c r="AR489"/>
      <c r="AS489"/>
      <c r="AT489"/>
      <c r="AU489"/>
      <c r="AV489"/>
      <c r="AW489"/>
      <c r="AX489"/>
      <c r="AY489"/>
      <c r="AZ489"/>
      <c r="BA489"/>
      <c r="BB489"/>
      <c r="BC489"/>
      <c r="BD489"/>
      <c r="BE489"/>
      <c r="BF489"/>
      <c r="BG489"/>
      <c r="BH489"/>
      <c r="BI489"/>
      <c r="BJ489"/>
      <c r="BK489"/>
      <c r="BL489"/>
      <c r="BM489"/>
      <c r="BN489"/>
      <c r="BO489"/>
      <c r="BP489"/>
      <c r="BQ489"/>
      <c r="BR489"/>
      <c r="BS489"/>
      <c r="BT489"/>
      <c r="BU489"/>
      <c r="BV489"/>
      <c r="BW489"/>
      <c r="BX489"/>
      <c r="BY489"/>
      <c r="BZ489"/>
      <c r="CA489"/>
      <c r="CB489"/>
      <c r="CC489"/>
      <c r="CD489"/>
      <c r="CE489"/>
      <c r="CF489"/>
      <c r="CG489"/>
    </row>
    <row r="490" spans="4:85" ht="15">
      <c r="D490" s="1"/>
      <c r="E490" s="1"/>
      <c r="F490" s="1"/>
      <c r="G490" s="1"/>
      <c r="H490" s="1"/>
      <c r="I490" s="1"/>
      <c r="R490"/>
      <c r="S490"/>
      <c r="T490"/>
      <c r="U490"/>
      <c r="V490"/>
      <c r="W490"/>
      <c r="X490"/>
      <c r="Y490"/>
      <c r="Z490"/>
      <c r="AA490"/>
      <c r="AJ490"/>
      <c r="AL490"/>
      <c r="AM490"/>
      <c r="AN490"/>
      <c r="AO490"/>
      <c r="AP490"/>
      <c r="AQ490"/>
      <c r="AR490"/>
      <c r="AS490"/>
      <c r="AT490"/>
      <c r="AU490"/>
      <c r="AV490"/>
      <c r="AW490"/>
      <c r="AX490"/>
      <c r="AY490"/>
      <c r="AZ490"/>
      <c r="BA490"/>
      <c r="BB490"/>
      <c r="BC490"/>
      <c r="BD490"/>
      <c r="BE490"/>
      <c r="BF490"/>
      <c r="BG490"/>
      <c r="BH490"/>
      <c r="BI490"/>
      <c r="BJ490"/>
      <c r="BK490"/>
      <c r="BL490"/>
      <c r="BM490"/>
      <c r="BN490"/>
      <c r="BO490"/>
      <c r="BP490"/>
      <c r="BQ490"/>
      <c r="BR490"/>
      <c r="BS490"/>
      <c r="BT490"/>
      <c r="BU490"/>
      <c r="BV490"/>
      <c r="BW490"/>
      <c r="BX490"/>
      <c r="BY490"/>
      <c r="BZ490"/>
      <c r="CA490"/>
      <c r="CB490"/>
      <c r="CC490"/>
      <c r="CD490"/>
      <c r="CE490"/>
      <c r="CF490"/>
      <c r="CG490"/>
    </row>
    <row r="491" spans="4:85" ht="15">
      <c r="D491" s="1"/>
      <c r="E491" s="1"/>
      <c r="F491" s="1"/>
      <c r="G491" s="1"/>
      <c r="H491" s="1"/>
      <c r="I491" s="1"/>
      <c r="R491"/>
      <c r="S491"/>
      <c r="T491"/>
      <c r="U491"/>
      <c r="V491"/>
      <c r="W491"/>
      <c r="X491"/>
      <c r="Y491"/>
      <c r="Z491"/>
      <c r="AA491"/>
      <c r="AJ491"/>
      <c r="AL491"/>
      <c r="AM491"/>
      <c r="AN491"/>
      <c r="AO491"/>
      <c r="AP491"/>
      <c r="AQ491"/>
      <c r="AR491"/>
      <c r="AS491"/>
      <c r="AT491"/>
      <c r="AU491"/>
      <c r="AV491"/>
      <c r="AW491"/>
      <c r="AX491"/>
      <c r="AY491"/>
      <c r="AZ491"/>
      <c r="BA491"/>
      <c r="BB491"/>
      <c r="BC491"/>
      <c r="BD491"/>
      <c r="BE491"/>
      <c r="BF491"/>
      <c r="BG491"/>
      <c r="BH491"/>
      <c r="BI491"/>
      <c r="BJ491"/>
      <c r="BK491"/>
      <c r="BL491"/>
      <c r="BM491"/>
      <c r="BN491"/>
      <c r="BO491"/>
      <c r="BP491"/>
      <c r="BQ491"/>
      <c r="BR491"/>
      <c r="BS491"/>
      <c r="BT491"/>
      <c r="BU491"/>
      <c r="BV491"/>
      <c r="BW491"/>
      <c r="BX491"/>
      <c r="BY491"/>
      <c r="BZ491"/>
      <c r="CA491"/>
      <c r="CB491"/>
      <c r="CC491"/>
      <c r="CD491"/>
      <c r="CE491"/>
      <c r="CF491"/>
      <c r="CG491"/>
    </row>
    <row r="492" spans="4:85" ht="15">
      <c r="D492" s="1"/>
      <c r="E492" s="1"/>
      <c r="F492" s="1"/>
      <c r="G492" s="1"/>
      <c r="H492" s="1"/>
      <c r="I492" s="1"/>
      <c r="R492"/>
      <c r="S492"/>
      <c r="T492"/>
      <c r="U492"/>
      <c r="V492"/>
      <c r="W492"/>
      <c r="X492"/>
      <c r="Y492"/>
      <c r="Z492"/>
      <c r="AA492"/>
      <c r="AJ492"/>
      <c r="AL492"/>
      <c r="AM492"/>
      <c r="AN492"/>
      <c r="AO492"/>
      <c r="AP492"/>
      <c r="AQ492"/>
      <c r="AR492"/>
      <c r="AS492"/>
      <c r="AT492"/>
      <c r="AU492"/>
      <c r="AV492"/>
      <c r="AW492"/>
      <c r="AX492"/>
      <c r="AY492"/>
      <c r="AZ492"/>
      <c r="BA492"/>
      <c r="BB492"/>
      <c r="BC492"/>
      <c r="BD492"/>
      <c r="BE492"/>
      <c r="BF492"/>
      <c r="BG492"/>
      <c r="BH492"/>
      <c r="BI492"/>
      <c r="BJ492"/>
      <c r="BK492"/>
      <c r="BL492"/>
      <c r="BM492"/>
      <c r="BN492"/>
      <c r="BO492"/>
      <c r="BP492"/>
      <c r="BQ492"/>
      <c r="BR492"/>
      <c r="BS492"/>
      <c r="BT492"/>
      <c r="BU492"/>
      <c r="BV492"/>
      <c r="BW492"/>
      <c r="BX492"/>
      <c r="BY492"/>
      <c r="BZ492"/>
      <c r="CA492"/>
      <c r="CB492"/>
      <c r="CC492"/>
      <c r="CD492"/>
      <c r="CE492"/>
      <c r="CF492"/>
      <c r="CG492"/>
    </row>
    <row r="493" spans="4:85" ht="15">
      <c r="D493" s="1"/>
      <c r="E493" s="1"/>
      <c r="F493" s="1"/>
      <c r="G493" s="1"/>
      <c r="H493" s="1"/>
      <c r="I493" s="1"/>
      <c r="R493"/>
      <c r="S493"/>
      <c r="T493"/>
      <c r="U493"/>
      <c r="V493"/>
      <c r="W493"/>
      <c r="X493"/>
      <c r="Y493"/>
      <c r="Z493"/>
      <c r="AA493"/>
      <c r="AJ493"/>
      <c r="AL493"/>
      <c r="AM493"/>
      <c r="AN493"/>
      <c r="AO493"/>
      <c r="AP493"/>
      <c r="AQ493"/>
      <c r="AR493"/>
      <c r="AS493"/>
      <c r="AT493"/>
      <c r="AU493"/>
      <c r="AV493"/>
      <c r="AW493"/>
      <c r="AX493"/>
      <c r="AY493"/>
      <c r="AZ493"/>
      <c r="BA493"/>
      <c r="BB493"/>
      <c r="BC493"/>
      <c r="BD493"/>
      <c r="BE493"/>
      <c r="BF493"/>
      <c r="BG493"/>
      <c r="BH493"/>
      <c r="BI493"/>
      <c r="BJ493"/>
      <c r="BK493"/>
      <c r="BL493"/>
      <c r="BM493"/>
      <c r="BN493"/>
      <c r="BO493"/>
      <c r="BP493"/>
      <c r="BQ493"/>
      <c r="BR493"/>
      <c r="BS493"/>
      <c r="BT493"/>
      <c r="BU493"/>
      <c r="BV493"/>
      <c r="BW493"/>
      <c r="BX493"/>
      <c r="BY493"/>
      <c r="BZ493"/>
      <c r="CA493"/>
      <c r="CB493"/>
      <c r="CC493"/>
      <c r="CD493"/>
      <c r="CE493"/>
      <c r="CF493"/>
      <c r="CG493"/>
    </row>
    <row r="494" spans="4:85" ht="15">
      <c r="D494" s="1"/>
      <c r="E494" s="1"/>
      <c r="F494" s="1"/>
      <c r="G494" s="1"/>
      <c r="H494" s="1"/>
      <c r="I494" s="1"/>
      <c r="R494"/>
      <c r="S494"/>
      <c r="T494"/>
      <c r="U494"/>
      <c r="V494"/>
      <c r="W494"/>
      <c r="X494"/>
      <c r="Y494"/>
      <c r="Z494"/>
      <c r="AA494"/>
      <c r="AJ494"/>
      <c r="AL494"/>
      <c r="AM494"/>
      <c r="AN494"/>
      <c r="AO494"/>
      <c r="AP494"/>
      <c r="AQ494"/>
      <c r="AR494"/>
      <c r="AS494"/>
      <c r="AT494"/>
      <c r="AU494"/>
      <c r="AV494"/>
      <c r="AW494"/>
      <c r="AX494"/>
      <c r="AY494"/>
      <c r="AZ494"/>
      <c r="BA494"/>
      <c r="BB494"/>
      <c r="BC494"/>
      <c r="BD494"/>
      <c r="BE494"/>
      <c r="BF494"/>
      <c r="BG494"/>
      <c r="BH494"/>
      <c r="BI494"/>
      <c r="BJ494"/>
      <c r="BK494"/>
      <c r="BL494"/>
      <c r="BM494"/>
      <c r="BN494"/>
      <c r="BO494"/>
      <c r="BP494"/>
      <c r="BQ494"/>
      <c r="BR494"/>
      <c r="BS494"/>
      <c r="BT494"/>
      <c r="BU494"/>
      <c r="BV494"/>
      <c r="BW494"/>
      <c r="BX494"/>
      <c r="BY494"/>
      <c r="BZ494"/>
      <c r="CA494"/>
      <c r="CB494"/>
      <c r="CC494"/>
      <c r="CD494"/>
      <c r="CE494"/>
      <c r="CF494"/>
      <c r="CG494"/>
    </row>
    <row r="495" spans="4:85" ht="15">
      <c r="D495" s="1"/>
      <c r="E495" s="1"/>
      <c r="F495" s="1"/>
      <c r="G495" s="1"/>
      <c r="H495" s="1"/>
      <c r="I495" s="1"/>
      <c r="R495"/>
      <c r="S495"/>
      <c r="T495"/>
      <c r="U495"/>
      <c r="V495"/>
      <c r="W495"/>
      <c r="X495"/>
      <c r="Y495"/>
      <c r="Z495"/>
      <c r="AA495"/>
      <c r="AJ495"/>
      <c r="AL495"/>
      <c r="AM495"/>
      <c r="AN495"/>
      <c r="AO495"/>
      <c r="AP495"/>
      <c r="AQ495"/>
      <c r="AR495"/>
      <c r="AS495"/>
      <c r="AT495"/>
      <c r="AU495"/>
      <c r="AV495"/>
      <c r="AW495"/>
      <c r="AX495"/>
      <c r="AY495"/>
      <c r="AZ495"/>
      <c r="BA495"/>
      <c r="BB495"/>
      <c r="BC495"/>
      <c r="BD495"/>
      <c r="BE495"/>
      <c r="BF495"/>
      <c r="BG495"/>
      <c r="BH495"/>
      <c r="BI495"/>
      <c r="BJ495"/>
      <c r="BK495"/>
      <c r="BL495"/>
      <c r="BM495"/>
      <c r="BN495"/>
      <c r="BO495"/>
      <c r="BP495"/>
      <c r="BQ495"/>
      <c r="BR495"/>
      <c r="BS495"/>
      <c r="BT495"/>
      <c r="BU495"/>
      <c r="BV495"/>
      <c r="BW495"/>
      <c r="BX495"/>
      <c r="BY495"/>
      <c r="BZ495"/>
      <c r="CA495"/>
      <c r="CB495"/>
      <c r="CC495"/>
      <c r="CD495"/>
      <c r="CE495"/>
      <c r="CF495"/>
      <c r="CG495"/>
    </row>
    <row r="496" spans="4:85" ht="15">
      <c r="D496" s="1"/>
      <c r="E496" s="1"/>
      <c r="F496" s="1"/>
      <c r="G496" s="1"/>
      <c r="H496" s="1"/>
      <c r="I496" s="1"/>
      <c r="R496"/>
      <c r="S496"/>
      <c r="T496"/>
      <c r="U496"/>
      <c r="V496"/>
      <c r="W496"/>
      <c r="X496"/>
      <c r="Y496"/>
      <c r="Z496"/>
      <c r="AA496"/>
      <c r="AJ496"/>
      <c r="AL496"/>
      <c r="AM496"/>
      <c r="AN496"/>
      <c r="AO496"/>
      <c r="AP496"/>
      <c r="AQ496"/>
      <c r="AR496"/>
      <c r="AS496"/>
      <c r="AT496"/>
      <c r="AU496"/>
      <c r="AV496"/>
      <c r="AW496"/>
      <c r="AX496"/>
      <c r="AY496"/>
      <c r="AZ496"/>
      <c r="BA496"/>
      <c r="BB496"/>
      <c r="BC496"/>
      <c r="BD496"/>
      <c r="BE496"/>
      <c r="BF496"/>
      <c r="BG496"/>
      <c r="BH496"/>
      <c r="BI496"/>
      <c r="BJ496"/>
      <c r="BK496"/>
      <c r="BL496"/>
      <c r="BM496"/>
      <c r="BN496"/>
      <c r="BO496"/>
      <c r="BP496"/>
      <c r="BQ496"/>
      <c r="BR496"/>
      <c r="BS496"/>
      <c r="BT496"/>
      <c r="BU496"/>
      <c r="BV496"/>
      <c r="BW496"/>
      <c r="BX496"/>
      <c r="BY496"/>
      <c r="BZ496"/>
      <c r="CA496"/>
      <c r="CB496"/>
      <c r="CC496"/>
      <c r="CD496"/>
      <c r="CE496"/>
      <c r="CF496"/>
      <c r="CG496"/>
    </row>
    <row r="497" spans="4:85" ht="15">
      <c r="D497" s="1"/>
      <c r="E497" s="1"/>
      <c r="F497" s="1"/>
      <c r="G497" s="1"/>
      <c r="H497" s="1"/>
      <c r="I497" s="1"/>
      <c r="R497"/>
      <c r="S497"/>
      <c r="T497"/>
      <c r="U497"/>
      <c r="V497"/>
      <c r="W497"/>
      <c r="X497"/>
      <c r="Y497"/>
      <c r="Z497"/>
      <c r="AA497"/>
      <c r="AJ497"/>
      <c r="AL497"/>
      <c r="AM497"/>
      <c r="AN497"/>
      <c r="AO497"/>
      <c r="AP497"/>
      <c r="AQ497"/>
      <c r="AR497"/>
      <c r="AS497"/>
      <c r="AT497"/>
      <c r="AU497"/>
      <c r="AV497"/>
      <c r="AW497"/>
      <c r="AX497"/>
      <c r="AY497"/>
      <c r="AZ497"/>
      <c r="BA497"/>
      <c r="BB497"/>
      <c r="BC497"/>
      <c r="BD497"/>
      <c r="BE497"/>
      <c r="BF497"/>
      <c r="BG497"/>
      <c r="BH497"/>
      <c r="BI497"/>
      <c r="BJ497"/>
      <c r="BK497"/>
      <c r="BL497"/>
      <c r="BM497"/>
      <c r="BN497"/>
      <c r="BO497"/>
      <c r="BP497"/>
      <c r="BQ497"/>
      <c r="BR497"/>
      <c r="BS497"/>
      <c r="BT497"/>
      <c r="BU497"/>
      <c r="BV497"/>
      <c r="BW497"/>
      <c r="BX497"/>
      <c r="BY497"/>
      <c r="BZ497"/>
      <c r="CA497"/>
      <c r="CB497"/>
      <c r="CC497"/>
      <c r="CD497"/>
      <c r="CE497"/>
      <c r="CF497"/>
      <c r="CG497"/>
    </row>
    <row r="498" spans="4:85" ht="15">
      <c r="D498" s="1"/>
      <c r="E498" s="1"/>
      <c r="F498" s="1"/>
      <c r="G498" s="1"/>
      <c r="H498" s="1"/>
      <c r="I498" s="1"/>
      <c r="R498"/>
      <c r="S498"/>
      <c r="T498"/>
      <c r="U498"/>
      <c r="V498"/>
      <c r="W498"/>
      <c r="X498"/>
      <c r="Y498"/>
      <c r="Z498"/>
      <c r="AA498"/>
      <c r="AJ498"/>
      <c r="AL498"/>
      <c r="AM498"/>
      <c r="AN498"/>
      <c r="AO498"/>
      <c r="AP498"/>
      <c r="AQ498"/>
      <c r="AR498"/>
      <c r="AS498"/>
      <c r="AT498"/>
      <c r="AU498"/>
      <c r="AV498"/>
      <c r="AW498"/>
      <c r="AX498"/>
      <c r="AY498"/>
      <c r="AZ498"/>
      <c r="BA498"/>
      <c r="BB498"/>
      <c r="BC498"/>
      <c r="BD498"/>
      <c r="BE498"/>
      <c r="BF498"/>
      <c r="BG498"/>
      <c r="BH498"/>
      <c r="BI498"/>
      <c r="BJ498"/>
      <c r="BK498"/>
      <c r="BL498"/>
      <c r="BM498"/>
      <c r="BN498"/>
      <c r="BO498"/>
      <c r="BP498"/>
      <c r="BQ498"/>
      <c r="BR498"/>
      <c r="BS498"/>
      <c r="BT498"/>
      <c r="BU498"/>
      <c r="BV498"/>
      <c r="BW498"/>
      <c r="BX498"/>
      <c r="BY498"/>
      <c r="BZ498"/>
      <c r="CA498"/>
      <c r="CB498"/>
      <c r="CC498"/>
      <c r="CD498"/>
      <c r="CE498"/>
      <c r="CF498"/>
      <c r="CG498"/>
    </row>
    <row r="499" spans="4:85" ht="15">
      <c r="D499" s="1"/>
      <c r="E499" s="1"/>
      <c r="F499" s="1"/>
      <c r="G499" s="1"/>
      <c r="H499" s="1"/>
      <c r="I499" s="1"/>
      <c r="R499"/>
      <c r="S499"/>
      <c r="T499"/>
      <c r="U499"/>
      <c r="V499"/>
      <c r="W499"/>
      <c r="X499"/>
      <c r="Y499"/>
      <c r="Z499"/>
      <c r="AA499"/>
      <c r="AJ499"/>
      <c r="AL499"/>
      <c r="AM499"/>
      <c r="AN499"/>
      <c r="AO499"/>
      <c r="AP499"/>
      <c r="AQ499"/>
      <c r="AR499"/>
      <c r="AS499"/>
      <c r="AT499"/>
      <c r="AU499"/>
      <c r="AV499"/>
      <c r="AW499"/>
      <c r="AX499"/>
      <c r="AY499"/>
      <c r="AZ499"/>
      <c r="BA499"/>
      <c r="BB499"/>
      <c r="BC499"/>
      <c r="BD499"/>
      <c r="BE499"/>
      <c r="BF499"/>
      <c r="BG499"/>
      <c r="BH499"/>
      <c r="BI499"/>
      <c r="BJ499"/>
      <c r="BK499"/>
      <c r="BL499"/>
      <c r="BM499"/>
      <c r="BN499"/>
      <c r="BO499"/>
      <c r="BP499"/>
      <c r="BQ499"/>
      <c r="BR499"/>
      <c r="BS499"/>
      <c r="BT499"/>
      <c r="BU499"/>
      <c r="BV499"/>
      <c r="BW499"/>
      <c r="BX499"/>
      <c r="BY499"/>
      <c r="BZ499"/>
      <c r="CA499"/>
      <c r="CB499"/>
      <c r="CC499"/>
      <c r="CD499"/>
      <c r="CE499"/>
      <c r="CF499"/>
      <c r="CG499"/>
    </row>
    <row r="500" spans="4:85" ht="15">
      <c r="D500" s="1"/>
      <c r="E500" s="1"/>
      <c r="F500" s="1"/>
      <c r="G500" s="1"/>
      <c r="H500" s="1"/>
      <c r="I500" s="1"/>
      <c r="R500"/>
      <c r="S500"/>
      <c r="T500"/>
      <c r="U500"/>
      <c r="V500"/>
      <c r="W500"/>
      <c r="X500"/>
      <c r="Y500"/>
      <c r="Z500"/>
      <c r="AA500"/>
      <c r="AJ500"/>
      <c r="AL500"/>
      <c r="AM500"/>
      <c r="AN500"/>
      <c r="AO500"/>
      <c r="AP500"/>
      <c r="AQ500"/>
      <c r="AR500"/>
      <c r="AS500"/>
      <c r="AT500"/>
      <c r="AU500"/>
      <c r="AV500"/>
      <c r="AW500"/>
      <c r="AX500"/>
      <c r="AY500"/>
      <c r="AZ500"/>
      <c r="BA500"/>
      <c r="BB500"/>
      <c r="BC500"/>
      <c r="BD500"/>
      <c r="BE500"/>
      <c r="BF500"/>
      <c r="BG500"/>
      <c r="BH500"/>
      <c r="BI500"/>
      <c r="BJ500"/>
      <c r="BK500"/>
      <c r="BL500"/>
      <c r="BM500"/>
      <c r="BN500"/>
      <c r="BO500"/>
      <c r="BP500"/>
      <c r="BQ500"/>
      <c r="BR500"/>
      <c r="BS500"/>
      <c r="BT500"/>
      <c r="BU500"/>
      <c r="BV500"/>
      <c r="BW500"/>
      <c r="BX500"/>
      <c r="BY500"/>
      <c r="BZ500"/>
      <c r="CA500"/>
      <c r="CB500"/>
      <c r="CC500"/>
      <c r="CD500"/>
      <c r="CE500"/>
      <c r="CF500"/>
      <c r="CG500"/>
    </row>
    <row r="501" spans="4:85" ht="15">
      <c r="D501" s="1"/>
      <c r="E501" s="1"/>
      <c r="F501" s="1"/>
      <c r="G501" s="1"/>
      <c r="H501" s="1"/>
      <c r="I501" s="1"/>
      <c r="R501"/>
      <c r="S501"/>
      <c r="T501"/>
      <c r="U501"/>
      <c r="V501"/>
      <c r="W501"/>
      <c r="X501"/>
      <c r="Y501"/>
      <c r="Z501"/>
      <c r="AA501"/>
      <c r="AJ501"/>
      <c r="AL501"/>
      <c r="AM501"/>
      <c r="AN501"/>
      <c r="AO501"/>
      <c r="AP501"/>
      <c r="AQ501"/>
      <c r="AR501"/>
      <c r="AS501"/>
      <c r="AT501"/>
      <c r="AU501"/>
      <c r="AV501"/>
      <c r="AW501"/>
      <c r="AX501"/>
      <c r="AY501"/>
      <c r="AZ501"/>
      <c r="BA501"/>
      <c r="BB501"/>
      <c r="BC501"/>
      <c r="BD501"/>
      <c r="BE501"/>
      <c r="BF501"/>
      <c r="BG501"/>
      <c r="BH501"/>
      <c r="BI501"/>
      <c r="BJ501"/>
      <c r="BK501"/>
      <c r="BL501"/>
      <c r="BM501"/>
      <c r="BN501"/>
      <c r="BO501"/>
      <c r="BP501"/>
      <c r="BQ501"/>
      <c r="BR501"/>
      <c r="BS501"/>
      <c r="BT501"/>
      <c r="BU501"/>
      <c r="BV501"/>
      <c r="BW501"/>
      <c r="BX501"/>
      <c r="BY501"/>
      <c r="BZ501"/>
      <c r="CA501"/>
      <c r="CB501"/>
      <c r="CC501"/>
      <c r="CD501"/>
      <c r="CE501"/>
      <c r="CF501"/>
      <c r="CG501"/>
    </row>
    <row r="502" spans="4:85" ht="15">
      <c r="D502" s="1"/>
      <c r="E502" s="1"/>
      <c r="F502" s="1"/>
      <c r="G502" s="1"/>
      <c r="H502" s="1"/>
      <c r="I502" s="1"/>
      <c r="R502"/>
      <c r="S502"/>
      <c r="T502"/>
      <c r="U502"/>
      <c r="V502"/>
      <c r="W502"/>
      <c r="X502"/>
      <c r="Y502"/>
      <c r="Z502"/>
      <c r="AA502"/>
      <c r="AJ502"/>
      <c r="AL502"/>
      <c r="AM502"/>
      <c r="AN502"/>
      <c r="AO502"/>
      <c r="AP502"/>
      <c r="AQ502"/>
      <c r="AR502"/>
      <c r="AS502"/>
      <c r="AT502"/>
      <c r="AU502"/>
      <c r="AV502"/>
      <c r="AW502"/>
      <c r="AX502"/>
      <c r="AY502"/>
      <c r="AZ502"/>
      <c r="BA502"/>
      <c r="BB502"/>
      <c r="BC502"/>
      <c r="BD502"/>
      <c r="BE502"/>
      <c r="BF502"/>
      <c r="BG502"/>
      <c r="BH502"/>
      <c r="BI502"/>
      <c r="BJ502"/>
      <c r="BK502"/>
      <c r="BL502"/>
      <c r="BM502"/>
      <c r="BN502"/>
      <c r="BO502"/>
      <c r="BP502"/>
      <c r="BQ502"/>
      <c r="BR502"/>
      <c r="BS502"/>
      <c r="BT502"/>
      <c r="BU502"/>
      <c r="BV502"/>
      <c r="BW502"/>
      <c r="BX502"/>
      <c r="BY502"/>
      <c r="BZ502"/>
      <c r="CA502"/>
      <c r="CB502"/>
      <c r="CC502"/>
      <c r="CD502"/>
      <c r="CE502"/>
      <c r="CF502"/>
      <c r="CG502"/>
    </row>
    <row r="503" spans="4:85" ht="15">
      <c r="D503" s="1"/>
      <c r="E503" s="1"/>
      <c r="F503" s="1"/>
      <c r="G503" s="1"/>
      <c r="H503" s="1"/>
      <c r="I503" s="1"/>
      <c r="R503"/>
      <c r="S503"/>
      <c r="T503"/>
      <c r="U503"/>
      <c r="V503"/>
      <c r="W503"/>
      <c r="X503"/>
      <c r="Y503"/>
      <c r="Z503"/>
      <c r="AA503"/>
      <c r="AJ503"/>
      <c r="AL503"/>
      <c r="AM503"/>
      <c r="AN503"/>
      <c r="AO503"/>
      <c r="AP503"/>
      <c r="AQ503"/>
      <c r="AR503"/>
      <c r="AS503"/>
      <c r="AT503"/>
      <c r="AU503"/>
      <c r="AV503"/>
      <c r="AW503"/>
      <c r="AX503"/>
      <c r="AY503"/>
      <c r="AZ503"/>
      <c r="BA503"/>
      <c r="BB503"/>
      <c r="BC503"/>
      <c r="BD503"/>
      <c r="BE503"/>
      <c r="BF503"/>
      <c r="BG503"/>
      <c r="BH503"/>
      <c r="BI503"/>
      <c r="BJ503"/>
      <c r="BK503"/>
      <c r="BL503"/>
      <c r="BM503"/>
      <c r="BN503"/>
      <c r="BO503"/>
      <c r="BP503"/>
      <c r="BQ503"/>
      <c r="BR503"/>
      <c r="BS503"/>
      <c r="BT503"/>
      <c r="BU503"/>
      <c r="BV503"/>
      <c r="BW503"/>
      <c r="BX503"/>
      <c r="BY503"/>
      <c r="BZ503"/>
      <c r="CA503"/>
      <c r="CB503"/>
      <c r="CC503"/>
      <c r="CD503"/>
      <c r="CE503"/>
      <c r="CF503"/>
      <c r="CG503"/>
    </row>
    <row r="504" spans="4:85" ht="15">
      <c r="D504" s="1"/>
      <c r="E504" s="1"/>
      <c r="F504" s="1"/>
      <c r="G504" s="1"/>
      <c r="H504" s="1"/>
      <c r="I504" s="1"/>
      <c r="R504"/>
      <c r="S504"/>
      <c r="T504"/>
      <c r="U504"/>
      <c r="V504"/>
      <c r="W504"/>
      <c r="X504"/>
      <c r="Y504"/>
      <c r="Z504"/>
      <c r="AA504"/>
      <c r="AJ504"/>
      <c r="AL504"/>
      <c r="AM504"/>
      <c r="AN504"/>
      <c r="AO504"/>
      <c r="AP504"/>
      <c r="AQ504"/>
      <c r="AR504"/>
      <c r="AS504"/>
      <c r="AT504"/>
      <c r="AU504"/>
      <c r="AV504"/>
      <c r="AW504"/>
      <c r="AX504"/>
      <c r="AY504"/>
      <c r="AZ504"/>
      <c r="BA504"/>
      <c r="BB504"/>
      <c r="BC504"/>
      <c r="BD504"/>
      <c r="BE504"/>
      <c r="BF504"/>
      <c r="BG504"/>
      <c r="BH504"/>
      <c r="BI504"/>
      <c r="BJ504"/>
      <c r="BK504"/>
      <c r="BL504"/>
      <c r="BM504"/>
      <c r="BN504"/>
      <c r="BO504"/>
      <c r="BP504"/>
      <c r="BQ504"/>
      <c r="BR504"/>
      <c r="BS504"/>
      <c r="BT504"/>
      <c r="BU504"/>
      <c r="BV504"/>
      <c r="BW504"/>
      <c r="BX504"/>
      <c r="BY504"/>
      <c r="BZ504"/>
      <c r="CA504"/>
      <c r="CB504"/>
      <c r="CC504"/>
      <c r="CD504"/>
      <c r="CE504"/>
      <c r="CF504"/>
      <c r="CG504"/>
    </row>
    <row r="505" spans="4:85" ht="15">
      <c r="D505" s="1"/>
      <c r="E505" s="1"/>
      <c r="F505" s="1"/>
      <c r="G505" s="1"/>
      <c r="H505" s="1"/>
      <c r="I505" s="1"/>
      <c r="R505"/>
      <c r="S505"/>
      <c r="T505"/>
      <c r="U505"/>
      <c r="V505"/>
      <c r="W505"/>
      <c r="X505"/>
      <c r="Y505"/>
      <c r="Z505"/>
      <c r="AA505"/>
      <c r="AJ505"/>
      <c r="AL505"/>
      <c r="AM505"/>
      <c r="AN505"/>
      <c r="AO505"/>
      <c r="AP505"/>
      <c r="AQ505"/>
      <c r="AR505"/>
      <c r="AS505"/>
      <c r="AT505"/>
      <c r="AU505"/>
      <c r="AV505"/>
      <c r="AW505"/>
      <c r="AX505"/>
      <c r="AY505"/>
      <c r="AZ505"/>
      <c r="BA505"/>
      <c r="BB505"/>
      <c r="BC505"/>
      <c r="BD505"/>
      <c r="BE505"/>
      <c r="BF505"/>
      <c r="BG505"/>
      <c r="BH505"/>
      <c r="BI505"/>
      <c r="BJ505"/>
      <c r="BK505"/>
      <c r="BL505"/>
      <c r="BM505"/>
      <c r="BN505"/>
      <c r="BO505"/>
      <c r="BP505"/>
      <c r="BQ505"/>
      <c r="BR505"/>
      <c r="BS505"/>
      <c r="BT505"/>
      <c r="BU505"/>
      <c r="BV505"/>
      <c r="BW505"/>
      <c r="BX505"/>
      <c r="BY505"/>
      <c r="BZ505"/>
      <c r="CA505"/>
      <c r="CB505"/>
      <c r="CC505"/>
      <c r="CD505"/>
      <c r="CE505"/>
      <c r="CF505"/>
      <c r="CG505"/>
    </row>
    <row r="506" spans="4:85" ht="15">
      <c r="D506" s="1"/>
      <c r="E506" s="1"/>
      <c r="F506" s="1"/>
      <c r="G506" s="1"/>
      <c r="H506" s="1"/>
      <c r="I506" s="1"/>
      <c r="R506"/>
      <c r="S506"/>
      <c r="T506"/>
      <c r="U506"/>
      <c r="V506"/>
      <c r="W506"/>
      <c r="X506"/>
      <c r="Y506"/>
      <c r="Z506"/>
      <c r="AA506"/>
      <c r="AJ506"/>
      <c r="AL506"/>
      <c r="AM506"/>
      <c r="AN506"/>
      <c r="AO506"/>
      <c r="AP506"/>
      <c r="AQ506"/>
      <c r="AR506"/>
      <c r="AS506"/>
      <c r="AT506"/>
      <c r="AU506"/>
      <c r="AV506"/>
      <c r="AW506"/>
      <c r="AX506"/>
      <c r="AY506"/>
      <c r="AZ506"/>
      <c r="BA506"/>
      <c r="BB506"/>
      <c r="BC506"/>
      <c r="BD506"/>
      <c r="BE506"/>
      <c r="BF506"/>
      <c r="BG506"/>
      <c r="BH506"/>
      <c r="BI506"/>
      <c r="BJ506"/>
      <c r="BK506"/>
      <c r="BL506"/>
      <c r="BM506"/>
      <c r="BN506"/>
      <c r="BO506"/>
      <c r="BP506"/>
      <c r="BQ506"/>
      <c r="BR506"/>
      <c r="BS506"/>
      <c r="BT506"/>
      <c r="BU506"/>
      <c r="BV506"/>
      <c r="BW506"/>
      <c r="BX506"/>
      <c r="BY506"/>
      <c r="BZ506"/>
      <c r="CA506"/>
      <c r="CB506"/>
      <c r="CC506"/>
      <c r="CD506"/>
      <c r="CE506"/>
      <c r="CF506"/>
      <c r="CG506"/>
    </row>
    <row r="507" spans="4:85" ht="15">
      <c r="D507" s="1"/>
      <c r="E507" s="1"/>
      <c r="F507" s="1"/>
      <c r="G507" s="1"/>
      <c r="H507" s="1"/>
      <c r="I507" s="1"/>
      <c r="R507"/>
      <c r="S507"/>
      <c r="T507"/>
      <c r="U507"/>
      <c r="V507"/>
      <c r="W507"/>
      <c r="X507"/>
      <c r="Y507"/>
      <c r="Z507"/>
      <c r="AA507"/>
      <c r="AJ507"/>
      <c r="AL507"/>
      <c r="AM507"/>
      <c r="AN507"/>
      <c r="AO507"/>
      <c r="AP507"/>
      <c r="AQ507"/>
      <c r="AR507"/>
      <c r="AS507"/>
      <c r="AT507"/>
      <c r="AU507"/>
      <c r="AV507"/>
      <c r="AW507"/>
      <c r="AX507"/>
      <c r="AY507"/>
      <c r="AZ507"/>
      <c r="BA507"/>
      <c r="BB507"/>
      <c r="BC507"/>
      <c r="BD507"/>
      <c r="BE507"/>
      <c r="BF507"/>
      <c r="BG507"/>
      <c r="BH507"/>
      <c r="BI507"/>
      <c r="BJ507"/>
      <c r="BK507"/>
      <c r="BL507"/>
      <c r="BM507"/>
      <c r="BN507"/>
      <c r="BO507"/>
      <c r="BP507"/>
      <c r="BQ507"/>
      <c r="BR507"/>
      <c r="BS507"/>
      <c r="BT507"/>
      <c r="BU507"/>
      <c r="BV507"/>
      <c r="BW507"/>
      <c r="BX507"/>
      <c r="BY507"/>
      <c r="BZ507"/>
      <c r="CA507"/>
      <c r="CB507"/>
      <c r="CC507"/>
      <c r="CD507"/>
      <c r="CE507"/>
      <c r="CF507"/>
      <c r="CG507"/>
    </row>
    <row r="508" spans="4:85" ht="15">
      <c r="D508" s="1"/>
      <c r="E508" s="1"/>
      <c r="F508" s="1"/>
      <c r="G508" s="1"/>
      <c r="H508" s="1"/>
      <c r="I508" s="1"/>
      <c r="R508"/>
      <c r="S508"/>
      <c r="T508"/>
      <c r="U508"/>
      <c r="V508"/>
      <c r="W508"/>
      <c r="X508"/>
      <c r="Y508"/>
      <c r="Z508"/>
      <c r="AA508"/>
      <c r="AJ508"/>
      <c r="AL508"/>
      <c r="AM508"/>
      <c r="AN508"/>
      <c r="AO508"/>
      <c r="AP508"/>
      <c r="AQ508"/>
      <c r="AR508"/>
      <c r="AS508"/>
      <c r="AT508"/>
      <c r="AU508"/>
      <c r="AV508"/>
      <c r="AW508"/>
      <c r="AX508"/>
      <c r="AY508"/>
      <c r="AZ508"/>
      <c r="BA508"/>
      <c r="BB508"/>
      <c r="BC508"/>
      <c r="BD508"/>
      <c r="BE508"/>
      <c r="BF508"/>
      <c r="BG508"/>
      <c r="BH508"/>
      <c r="BI508"/>
      <c r="BJ508"/>
      <c r="BK508"/>
      <c r="BL508"/>
      <c r="BM508"/>
      <c r="BN508"/>
      <c r="BO508"/>
      <c r="BP508"/>
      <c r="BQ508"/>
      <c r="BR508"/>
      <c r="BS508"/>
      <c r="BT508"/>
      <c r="BU508"/>
      <c r="BV508"/>
      <c r="BW508"/>
      <c r="BX508"/>
      <c r="BY508"/>
      <c r="BZ508"/>
      <c r="CA508"/>
      <c r="CB508"/>
      <c r="CC508"/>
      <c r="CD508"/>
      <c r="CE508"/>
      <c r="CF508"/>
      <c r="CG508"/>
    </row>
    <row r="509" spans="4:85" ht="15">
      <c r="D509" s="1"/>
      <c r="E509" s="1"/>
      <c r="F509" s="1"/>
      <c r="G509" s="1"/>
      <c r="H509" s="1"/>
      <c r="I509" s="1"/>
      <c r="R509"/>
      <c r="S509"/>
      <c r="T509"/>
      <c r="U509"/>
      <c r="V509"/>
      <c r="W509"/>
      <c r="X509"/>
      <c r="Y509"/>
      <c r="Z509"/>
      <c r="AA509"/>
      <c r="AJ509"/>
      <c r="AL509"/>
      <c r="AM509"/>
      <c r="AN509"/>
      <c r="AO509"/>
      <c r="AP509"/>
      <c r="AQ509"/>
      <c r="AR509"/>
      <c r="AS509"/>
      <c r="AT509"/>
      <c r="AU509"/>
      <c r="AV509"/>
      <c r="AW509"/>
      <c r="AX509"/>
      <c r="AY509"/>
      <c r="AZ509"/>
      <c r="BA509"/>
      <c r="BB509"/>
      <c r="BC509"/>
      <c r="BD509"/>
      <c r="BE509"/>
      <c r="BF509"/>
      <c r="BG509"/>
      <c r="BH509"/>
      <c r="BI509"/>
      <c r="BJ509"/>
      <c r="BK509"/>
      <c r="BL509"/>
      <c r="BM509"/>
      <c r="BN509"/>
      <c r="BO509"/>
      <c r="BP509"/>
      <c r="BQ509"/>
      <c r="BR509"/>
      <c r="BS509"/>
      <c r="BT509"/>
      <c r="BU509"/>
      <c r="BV509"/>
      <c r="BW509"/>
      <c r="BX509"/>
      <c r="BY509"/>
      <c r="BZ509"/>
      <c r="CA509"/>
      <c r="CB509"/>
      <c r="CC509"/>
      <c r="CD509"/>
      <c r="CE509"/>
      <c r="CF509"/>
      <c r="CG509"/>
    </row>
    <row r="510" spans="4:85" ht="15">
      <c r="D510" s="1"/>
      <c r="E510" s="1"/>
      <c r="F510" s="1"/>
      <c r="G510" s="1"/>
      <c r="H510" s="1"/>
      <c r="I510" s="1"/>
      <c r="R510"/>
      <c r="S510"/>
      <c r="T510"/>
      <c r="U510"/>
      <c r="V510"/>
      <c r="W510"/>
      <c r="X510"/>
      <c r="Y510"/>
      <c r="Z510"/>
      <c r="AA510"/>
      <c r="AJ510"/>
      <c r="AL510"/>
      <c r="AM510"/>
      <c r="AN510"/>
      <c r="AO510"/>
      <c r="AP510"/>
      <c r="AQ510"/>
      <c r="AR510"/>
      <c r="AS510"/>
      <c r="AT510"/>
      <c r="AU510"/>
      <c r="AV510"/>
      <c r="AW510"/>
      <c r="AX510"/>
      <c r="AY510"/>
      <c r="AZ510"/>
      <c r="BA510"/>
      <c r="BB510"/>
      <c r="BC510"/>
      <c r="BD510"/>
      <c r="BE510"/>
      <c r="BF510"/>
      <c r="BG510"/>
      <c r="BH510"/>
      <c r="BI510"/>
      <c r="BJ510"/>
      <c r="BK510"/>
      <c r="BL510"/>
      <c r="BM510"/>
      <c r="BN510"/>
      <c r="BO510"/>
      <c r="BP510"/>
      <c r="BQ510"/>
      <c r="BR510"/>
      <c r="BS510"/>
      <c r="BT510"/>
      <c r="BU510"/>
      <c r="BV510"/>
      <c r="BW510"/>
      <c r="BX510"/>
      <c r="BY510"/>
      <c r="BZ510"/>
      <c r="CA510"/>
      <c r="CB510"/>
      <c r="CC510"/>
      <c r="CD510"/>
      <c r="CE510"/>
      <c r="CF510"/>
      <c r="CG510"/>
    </row>
    <row r="511" spans="4:85" ht="15">
      <c r="D511" s="1"/>
      <c r="E511" s="1"/>
      <c r="F511" s="1"/>
      <c r="G511" s="1"/>
      <c r="H511" s="1"/>
      <c r="I511" s="1"/>
      <c r="R511"/>
      <c r="S511"/>
      <c r="T511"/>
      <c r="U511"/>
      <c r="V511"/>
      <c r="W511"/>
      <c r="X511"/>
      <c r="Y511"/>
      <c r="Z511"/>
      <c r="AA511"/>
      <c r="AJ511"/>
      <c r="AL511"/>
      <c r="AM511"/>
      <c r="AN511"/>
      <c r="AO511"/>
      <c r="AP511"/>
      <c r="AQ511"/>
      <c r="AR511"/>
      <c r="AS511"/>
      <c r="AT511"/>
      <c r="AU511"/>
      <c r="AV511"/>
      <c r="AW511"/>
      <c r="AX511"/>
      <c r="AY511"/>
      <c r="AZ511"/>
      <c r="BA511"/>
      <c r="BB511"/>
      <c r="BC511"/>
      <c r="BD511"/>
      <c r="BE511"/>
      <c r="BF511"/>
      <c r="BG511"/>
      <c r="BH511"/>
      <c r="BI511"/>
      <c r="BJ511"/>
      <c r="BK511"/>
      <c r="BL511"/>
      <c r="BM511"/>
      <c r="BN511"/>
      <c r="BO511"/>
      <c r="BP511"/>
      <c r="BQ511"/>
      <c r="BR511"/>
      <c r="BS511"/>
      <c r="BT511"/>
      <c r="BU511"/>
      <c r="BV511"/>
      <c r="BW511"/>
      <c r="BX511"/>
      <c r="BY511"/>
      <c r="BZ511"/>
      <c r="CA511"/>
      <c r="CB511"/>
      <c r="CC511"/>
      <c r="CD511"/>
      <c r="CE511"/>
      <c r="CF511"/>
      <c r="CG511"/>
    </row>
    <row r="512" spans="4:85" ht="15">
      <c r="D512" s="1"/>
      <c r="E512" s="1"/>
      <c r="F512" s="1"/>
      <c r="G512" s="1"/>
      <c r="H512" s="1"/>
      <c r="I512" s="1"/>
      <c r="R512"/>
      <c r="S512"/>
      <c r="T512"/>
      <c r="U512"/>
      <c r="V512"/>
      <c r="W512"/>
      <c r="X512"/>
      <c r="Y512"/>
      <c r="Z512"/>
      <c r="AA512"/>
      <c r="AJ512"/>
      <c r="AL512"/>
      <c r="AM512"/>
      <c r="AN512"/>
      <c r="AO512"/>
      <c r="AP512"/>
      <c r="AQ512"/>
      <c r="AR512"/>
      <c r="AS512"/>
      <c r="AT512"/>
      <c r="AU512"/>
      <c r="AV512"/>
      <c r="AW512"/>
      <c r="AX512"/>
      <c r="AY512"/>
      <c r="AZ512"/>
      <c r="BA512"/>
      <c r="BB512"/>
      <c r="BC512"/>
      <c r="BD512"/>
      <c r="BE512"/>
      <c r="BF512"/>
      <c r="BG512"/>
      <c r="BH512"/>
      <c r="BI512"/>
      <c r="BJ512"/>
      <c r="BK512"/>
      <c r="BL512"/>
      <c r="BM512"/>
      <c r="BN512"/>
      <c r="BO512"/>
      <c r="BP512"/>
      <c r="BQ512"/>
      <c r="BR512"/>
      <c r="BS512"/>
      <c r="BT512"/>
      <c r="BU512"/>
      <c r="BV512"/>
      <c r="BW512"/>
      <c r="BX512"/>
      <c r="BY512"/>
      <c r="BZ512"/>
      <c r="CA512"/>
      <c r="CB512"/>
      <c r="CC512"/>
      <c r="CD512"/>
      <c r="CE512"/>
      <c r="CF512"/>
      <c r="CG512"/>
    </row>
    <row r="513" spans="4:85" ht="15">
      <c r="D513" s="1"/>
      <c r="E513" s="1"/>
      <c r="F513" s="1"/>
      <c r="G513" s="1"/>
      <c r="H513" s="1"/>
      <c r="I513" s="1"/>
      <c r="R513"/>
      <c r="S513"/>
      <c r="T513"/>
      <c r="U513"/>
      <c r="V513"/>
      <c r="W513"/>
      <c r="X513"/>
      <c r="Y513"/>
      <c r="Z513"/>
      <c r="AA513"/>
      <c r="AJ513"/>
      <c r="AL513"/>
      <c r="AM513"/>
      <c r="AN513"/>
      <c r="AO513"/>
      <c r="AP513"/>
      <c r="AQ513"/>
      <c r="AR513"/>
      <c r="AS513"/>
      <c r="AT513"/>
      <c r="AU513"/>
      <c r="AV513"/>
      <c r="AW513"/>
      <c r="AX513"/>
      <c r="AY513"/>
      <c r="AZ513"/>
      <c r="BA513"/>
      <c r="BB513"/>
      <c r="BC513"/>
      <c r="BD513"/>
      <c r="BE513"/>
      <c r="BF513"/>
      <c r="BG513"/>
      <c r="BH513"/>
      <c r="BI513"/>
      <c r="BJ513"/>
      <c r="BK513"/>
      <c r="BL513"/>
      <c r="BM513"/>
      <c r="BN513"/>
      <c r="BO513"/>
      <c r="BP513"/>
      <c r="BQ513"/>
      <c r="BR513"/>
      <c r="BS513"/>
      <c r="BT513"/>
      <c r="BU513"/>
      <c r="BV513"/>
      <c r="BW513"/>
      <c r="BX513"/>
      <c r="BY513"/>
      <c r="BZ513"/>
      <c r="CA513"/>
      <c r="CB513"/>
      <c r="CC513"/>
      <c r="CD513"/>
      <c r="CE513"/>
      <c r="CF513"/>
      <c r="CG513"/>
    </row>
    <row r="514" spans="4:85" ht="15">
      <c r="D514" s="1"/>
      <c r="E514" s="1"/>
      <c r="F514" s="1"/>
      <c r="G514" s="1"/>
      <c r="H514" s="1"/>
      <c r="I514" s="1"/>
      <c r="R514"/>
      <c r="S514"/>
      <c r="T514"/>
      <c r="U514"/>
      <c r="V514"/>
      <c r="W514"/>
      <c r="X514"/>
      <c r="Y514"/>
      <c r="Z514"/>
      <c r="AA514"/>
      <c r="AJ514"/>
      <c r="AL514"/>
      <c r="AM514"/>
      <c r="AN514"/>
      <c r="AO514"/>
      <c r="AP514"/>
      <c r="AQ514"/>
      <c r="AR514"/>
      <c r="AS514"/>
      <c r="AT514"/>
      <c r="AU514"/>
      <c r="AV514"/>
      <c r="AW514"/>
      <c r="AX514"/>
      <c r="AY514"/>
      <c r="AZ514"/>
      <c r="BA514"/>
      <c r="BB514"/>
      <c r="BC514"/>
      <c r="BD514"/>
      <c r="BE514"/>
      <c r="BF514"/>
      <c r="BG514"/>
      <c r="BH514"/>
      <c r="BI514"/>
      <c r="BJ514"/>
      <c r="BK514"/>
      <c r="BL514"/>
      <c r="BM514"/>
      <c r="BN514"/>
      <c r="BO514"/>
      <c r="BP514"/>
      <c r="BQ514"/>
      <c r="BR514"/>
      <c r="BS514"/>
      <c r="BT514"/>
      <c r="BU514"/>
      <c r="BV514"/>
      <c r="BW514"/>
      <c r="BX514"/>
      <c r="BY514"/>
      <c r="BZ514"/>
      <c r="CA514"/>
      <c r="CB514"/>
      <c r="CC514"/>
      <c r="CD514"/>
      <c r="CE514"/>
      <c r="CF514"/>
      <c r="CG514"/>
    </row>
    <row r="515" spans="4:85" ht="15">
      <c r="D515" s="1"/>
      <c r="E515" s="1"/>
      <c r="F515" s="1"/>
      <c r="G515" s="1"/>
      <c r="H515" s="1"/>
      <c r="I515" s="1"/>
      <c r="R515"/>
      <c r="S515"/>
      <c r="T515"/>
      <c r="U515"/>
      <c r="V515"/>
      <c r="W515"/>
      <c r="X515"/>
      <c r="Y515"/>
      <c r="Z515"/>
      <c r="AA515"/>
      <c r="AJ515"/>
      <c r="AL515"/>
      <c r="AM515"/>
      <c r="AN515"/>
      <c r="AO515"/>
      <c r="AP515"/>
      <c r="AQ515"/>
      <c r="AR515"/>
      <c r="AS515"/>
      <c r="AT515"/>
      <c r="AU515"/>
      <c r="AV515"/>
      <c r="AW515"/>
      <c r="AX515"/>
      <c r="AY515"/>
      <c r="AZ515"/>
      <c r="BA515"/>
      <c r="BB515"/>
      <c r="BC515"/>
      <c r="BD515"/>
      <c r="BE515"/>
      <c r="BF515"/>
      <c r="BG515"/>
      <c r="BH515"/>
      <c r="BI515"/>
      <c r="BJ515"/>
      <c r="BK515"/>
      <c r="BL515"/>
      <c r="BM515"/>
      <c r="BN515"/>
      <c r="BO515"/>
      <c r="BP515"/>
      <c r="BQ515"/>
      <c r="BR515"/>
      <c r="BS515"/>
      <c r="BT515"/>
      <c r="BU515"/>
      <c r="BV515"/>
      <c r="BW515"/>
      <c r="BX515"/>
      <c r="BY515"/>
      <c r="BZ515"/>
      <c r="CA515"/>
      <c r="CB515"/>
      <c r="CC515"/>
      <c r="CD515"/>
      <c r="CE515"/>
      <c r="CF515"/>
      <c r="CG515"/>
    </row>
    <row r="516" spans="4:85" ht="15">
      <c r="D516" s="1"/>
      <c r="E516" s="1"/>
      <c r="F516" s="1"/>
      <c r="G516" s="1"/>
      <c r="H516" s="1"/>
      <c r="I516" s="1"/>
      <c r="R516"/>
      <c r="S516"/>
      <c r="T516"/>
      <c r="U516"/>
      <c r="V516"/>
      <c r="W516"/>
      <c r="X516"/>
      <c r="Y516"/>
      <c r="Z516"/>
      <c r="AA516"/>
      <c r="AJ516"/>
      <c r="AL516"/>
      <c r="AM516"/>
      <c r="AN516"/>
      <c r="AO516"/>
      <c r="AP516"/>
      <c r="AQ516"/>
      <c r="AR516"/>
      <c r="AS516"/>
      <c r="AT516"/>
      <c r="AU516"/>
      <c r="AV516"/>
      <c r="AW516"/>
      <c r="AX516"/>
      <c r="AY516"/>
      <c r="AZ516"/>
      <c r="BA516"/>
      <c r="BB516"/>
      <c r="BC516"/>
      <c r="BD516"/>
      <c r="BE516"/>
      <c r="BF516"/>
      <c r="BG516"/>
      <c r="BH516"/>
      <c r="BI516"/>
      <c r="BJ516"/>
      <c r="BK516"/>
      <c r="BL516"/>
      <c r="BM516"/>
      <c r="BN516"/>
      <c r="BO516"/>
      <c r="BP516"/>
      <c r="BQ516"/>
      <c r="BR516"/>
      <c r="BS516"/>
      <c r="BT516"/>
      <c r="BU516"/>
      <c r="BV516"/>
      <c r="BW516"/>
      <c r="BX516"/>
      <c r="BY516"/>
      <c r="BZ516"/>
      <c r="CA516"/>
      <c r="CB516"/>
      <c r="CC516"/>
      <c r="CD516"/>
      <c r="CE516"/>
      <c r="CF516"/>
      <c r="CG516"/>
    </row>
    <row r="517" spans="4:85" ht="15">
      <c r="D517" s="1"/>
      <c r="E517" s="1"/>
      <c r="F517" s="1"/>
      <c r="G517" s="1"/>
      <c r="H517" s="1"/>
      <c r="I517" s="1"/>
      <c r="R517"/>
      <c r="S517"/>
      <c r="T517"/>
      <c r="U517"/>
      <c r="V517"/>
      <c r="W517"/>
      <c r="X517"/>
      <c r="Y517"/>
      <c r="Z517"/>
      <c r="AA517"/>
      <c r="AJ517"/>
      <c r="AL517"/>
      <c r="AM517"/>
      <c r="AN517"/>
      <c r="AO517"/>
      <c r="AP517"/>
      <c r="AQ517"/>
      <c r="AR517"/>
      <c r="AS517"/>
      <c r="AT517"/>
      <c r="AU517"/>
      <c r="AV517"/>
      <c r="AW517"/>
      <c r="AX517"/>
      <c r="AY517"/>
      <c r="AZ517"/>
      <c r="BA517"/>
      <c r="BB517"/>
      <c r="BC517"/>
      <c r="BD517"/>
      <c r="BE517"/>
      <c r="BF517"/>
      <c r="BG517"/>
      <c r="BH517"/>
      <c r="BI517"/>
      <c r="BJ517"/>
      <c r="BK517"/>
      <c r="BL517"/>
      <c r="BM517"/>
      <c r="BN517"/>
      <c r="BO517"/>
      <c r="BP517"/>
      <c r="BQ517"/>
      <c r="BR517"/>
      <c r="BS517"/>
      <c r="BT517"/>
      <c r="BU517"/>
      <c r="BV517"/>
      <c r="BW517"/>
      <c r="BX517"/>
      <c r="BY517"/>
      <c r="BZ517"/>
      <c r="CA517"/>
      <c r="CB517"/>
      <c r="CC517"/>
      <c r="CD517"/>
      <c r="CE517"/>
      <c r="CF517"/>
      <c r="CG517"/>
    </row>
    <row r="518" spans="4:85" ht="15">
      <c r="D518" s="1"/>
      <c r="E518" s="1"/>
      <c r="F518" s="1"/>
      <c r="G518" s="1"/>
      <c r="H518" s="1"/>
      <c r="I518" s="1"/>
      <c r="R518"/>
      <c r="S518"/>
      <c r="T518"/>
      <c r="U518"/>
      <c r="V518"/>
      <c r="W518"/>
      <c r="X518"/>
      <c r="Y518"/>
      <c r="Z518"/>
      <c r="AA518"/>
      <c r="AJ518"/>
      <c r="AL518"/>
      <c r="AM518"/>
      <c r="AN518"/>
      <c r="AO518"/>
      <c r="AP518"/>
      <c r="AQ518"/>
      <c r="AR518"/>
      <c r="AS518"/>
      <c r="AT518"/>
      <c r="AU518"/>
      <c r="AV518"/>
      <c r="AW518"/>
      <c r="AX518"/>
      <c r="AY518"/>
      <c r="AZ518"/>
      <c r="BA518"/>
      <c r="BB518"/>
      <c r="BC518"/>
      <c r="BD518"/>
      <c r="BE518"/>
      <c r="BF518"/>
      <c r="BG518"/>
      <c r="BH518"/>
      <c r="BI518"/>
      <c r="BJ518"/>
      <c r="BK518"/>
      <c r="BL518"/>
      <c r="BM518"/>
      <c r="BN518"/>
      <c r="BO518"/>
      <c r="BP518"/>
      <c r="BQ518"/>
      <c r="BR518"/>
      <c r="BS518"/>
      <c r="BT518"/>
      <c r="BU518"/>
      <c r="BV518"/>
      <c r="BW518"/>
      <c r="BX518"/>
      <c r="BY518"/>
      <c r="BZ518"/>
      <c r="CA518"/>
      <c r="CB518"/>
      <c r="CC518"/>
      <c r="CD518"/>
      <c r="CE518"/>
      <c r="CF518"/>
      <c r="CG518"/>
    </row>
    <row r="519" spans="4:85" ht="15">
      <c r="D519" s="1"/>
      <c r="E519" s="1"/>
      <c r="F519" s="1"/>
      <c r="G519" s="1"/>
      <c r="H519" s="1"/>
      <c r="I519" s="1"/>
      <c r="R519"/>
      <c r="S519"/>
      <c r="T519"/>
      <c r="U519"/>
      <c r="V519"/>
      <c r="W519"/>
      <c r="X519"/>
      <c r="Y519"/>
      <c r="Z519"/>
      <c r="AA519"/>
      <c r="AJ519"/>
      <c r="AL519"/>
      <c r="AM519"/>
      <c r="AN519"/>
      <c r="AO519"/>
      <c r="AP519"/>
      <c r="AQ519"/>
      <c r="AR519"/>
      <c r="AS519"/>
      <c r="AT519"/>
      <c r="AU519"/>
      <c r="AV519"/>
      <c r="AW519"/>
      <c r="AX519"/>
      <c r="AY519"/>
      <c r="AZ519"/>
      <c r="BA519"/>
      <c r="BB519"/>
      <c r="BC519"/>
      <c r="BD519"/>
      <c r="BE519"/>
      <c r="BF519"/>
      <c r="BG519"/>
      <c r="BH519"/>
      <c r="BI519"/>
      <c r="BJ519"/>
      <c r="BK519"/>
      <c r="BL519"/>
      <c r="BM519"/>
      <c r="BN519"/>
      <c r="BO519"/>
      <c r="BP519"/>
      <c r="BQ519"/>
      <c r="BR519"/>
      <c r="BS519"/>
      <c r="BT519"/>
      <c r="BU519"/>
      <c r="BV519"/>
      <c r="BW519"/>
      <c r="BX519"/>
      <c r="BY519"/>
      <c r="BZ519"/>
      <c r="CA519"/>
      <c r="CB519"/>
      <c r="CC519"/>
      <c r="CD519"/>
      <c r="CE519"/>
      <c r="CF519"/>
      <c r="CG519"/>
    </row>
    <row r="520" spans="4:85" ht="15">
      <c r="D520" s="1"/>
      <c r="E520" s="1"/>
      <c r="F520" s="1"/>
      <c r="G520" s="1"/>
      <c r="H520" s="1"/>
      <c r="I520" s="1"/>
      <c r="R520"/>
      <c r="S520"/>
      <c r="T520"/>
      <c r="U520"/>
      <c r="V520"/>
      <c r="W520"/>
      <c r="X520"/>
      <c r="Y520"/>
      <c r="Z520"/>
      <c r="AA520"/>
      <c r="AJ520"/>
      <c r="AL520"/>
      <c r="AM520"/>
      <c r="AN520"/>
      <c r="AO520"/>
      <c r="AP520"/>
      <c r="AQ520"/>
      <c r="AR520"/>
      <c r="AS520"/>
      <c r="AT520"/>
      <c r="AU520"/>
      <c r="AV520"/>
      <c r="AW520"/>
      <c r="AX520"/>
      <c r="AY520"/>
      <c r="AZ520"/>
      <c r="BA520"/>
      <c r="BB520"/>
      <c r="BC520"/>
      <c r="BD520"/>
      <c r="BE520"/>
      <c r="BF520"/>
      <c r="BG520"/>
      <c r="BH520"/>
      <c r="BI520"/>
      <c r="BJ520"/>
      <c r="BK520"/>
      <c r="BL520"/>
      <c r="BM520"/>
      <c r="BN520"/>
      <c r="BO520"/>
      <c r="BP520"/>
      <c r="BQ520"/>
      <c r="BR520"/>
      <c r="BS520"/>
      <c r="BT520"/>
      <c r="BU520"/>
      <c r="BV520"/>
      <c r="BW520"/>
      <c r="BX520"/>
      <c r="BY520"/>
      <c r="BZ520"/>
      <c r="CA520"/>
      <c r="CB520"/>
      <c r="CC520"/>
      <c r="CD520"/>
      <c r="CE520"/>
      <c r="CF520"/>
      <c r="CG520"/>
    </row>
    <row r="521" spans="4:85" ht="15">
      <c r="D521" s="1"/>
      <c r="E521" s="1"/>
      <c r="F521" s="1"/>
      <c r="G521" s="1"/>
      <c r="H521" s="1"/>
      <c r="I521" s="1"/>
      <c r="R521"/>
      <c r="S521"/>
      <c r="T521"/>
      <c r="U521"/>
      <c r="V521"/>
      <c r="W521"/>
      <c r="X521"/>
      <c r="Y521"/>
      <c r="Z521"/>
      <c r="AA521"/>
      <c r="AJ521"/>
      <c r="AL521"/>
      <c r="AM521"/>
      <c r="AN521"/>
      <c r="AO521"/>
      <c r="AP521"/>
      <c r="AQ521"/>
      <c r="AR521"/>
      <c r="AS521"/>
      <c r="AT521"/>
      <c r="AU521"/>
      <c r="AV521"/>
      <c r="AW521"/>
      <c r="AX521"/>
      <c r="AY521"/>
      <c r="AZ521"/>
      <c r="BA521"/>
      <c r="BB521"/>
      <c r="BC521"/>
      <c r="BD521"/>
      <c r="BE521"/>
      <c r="BF521"/>
      <c r="BG521"/>
      <c r="BH521"/>
      <c r="BI521"/>
      <c r="BJ521"/>
      <c r="BK521"/>
      <c r="BL521"/>
      <c r="BM521"/>
      <c r="BN521"/>
      <c r="BO521"/>
      <c r="BP521"/>
      <c r="BQ521"/>
      <c r="BR521"/>
      <c r="BS521"/>
      <c r="BT521"/>
      <c r="BU521"/>
      <c r="BV521"/>
      <c r="BW521"/>
      <c r="BX521"/>
      <c r="BY521"/>
      <c r="BZ521"/>
      <c r="CA521"/>
      <c r="CB521"/>
      <c r="CC521"/>
      <c r="CD521"/>
      <c r="CE521"/>
      <c r="CF521"/>
      <c r="CG521"/>
    </row>
    <row r="522" spans="4:85" ht="15">
      <c r="D522" s="1"/>
      <c r="E522" s="1"/>
      <c r="F522" s="1"/>
      <c r="G522" s="1"/>
      <c r="H522" s="1"/>
      <c r="I522" s="1"/>
      <c r="R522"/>
      <c r="S522"/>
      <c r="T522"/>
      <c r="U522"/>
      <c r="V522"/>
      <c r="W522"/>
      <c r="X522"/>
      <c r="Y522"/>
      <c r="Z522"/>
      <c r="AA522"/>
      <c r="AJ522"/>
      <c r="AL522"/>
      <c r="AM522"/>
      <c r="AN522"/>
      <c r="AO522"/>
      <c r="AP522"/>
      <c r="AQ522"/>
      <c r="AR522"/>
      <c r="AS522"/>
      <c r="AT522"/>
      <c r="AU522"/>
      <c r="AV522"/>
      <c r="AW522"/>
      <c r="AX522"/>
      <c r="AY522"/>
      <c r="AZ522"/>
      <c r="BA522"/>
      <c r="BB522"/>
      <c r="BC522"/>
      <c r="BD522"/>
      <c r="BE522"/>
      <c r="BF522"/>
      <c r="BG522"/>
      <c r="BH522"/>
      <c r="BI522"/>
      <c r="BJ522"/>
      <c r="BK522"/>
      <c r="BL522"/>
      <c r="BM522"/>
      <c r="BN522"/>
      <c r="BO522"/>
      <c r="BP522"/>
      <c r="BQ522"/>
      <c r="BR522"/>
      <c r="BS522"/>
      <c r="BT522"/>
      <c r="BU522"/>
      <c r="BV522"/>
      <c r="BW522"/>
      <c r="BX522"/>
      <c r="BY522"/>
      <c r="BZ522"/>
      <c r="CA522"/>
      <c r="CB522"/>
      <c r="CC522"/>
      <c r="CD522"/>
      <c r="CE522"/>
      <c r="CF522"/>
      <c r="CG522"/>
    </row>
    <row r="523" spans="4:85" ht="15">
      <c r="D523" s="1"/>
      <c r="E523" s="1"/>
      <c r="F523" s="1"/>
      <c r="G523" s="1"/>
      <c r="H523" s="1"/>
      <c r="I523" s="1"/>
      <c r="R523"/>
      <c r="S523"/>
      <c r="T523"/>
      <c r="U523"/>
      <c r="V523"/>
      <c r="W523"/>
      <c r="X523"/>
      <c r="Y523"/>
      <c r="Z523"/>
      <c r="AA523"/>
      <c r="AJ523"/>
      <c r="AL523"/>
      <c r="AM523"/>
      <c r="AN523"/>
      <c r="AO523"/>
      <c r="AP523"/>
      <c r="AQ523"/>
      <c r="AR523"/>
      <c r="AS523"/>
      <c r="AT523"/>
      <c r="AU523"/>
      <c r="AV523"/>
      <c r="AW523"/>
      <c r="AX523"/>
      <c r="AY523"/>
      <c r="AZ523"/>
      <c r="BA523"/>
      <c r="BB523"/>
      <c r="BC523"/>
      <c r="BD523"/>
      <c r="BE523"/>
      <c r="BF523"/>
      <c r="BG523"/>
      <c r="BH523"/>
      <c r="BI523"/>
      <c r="BJ523"/>
      <c r="BK523"/>
      <c r="BL523"/>
      <c r="BM523"/>
      <c r="BN523"/>
      <c r="BO523"/>
      <c r="BP523"/>
      <c r="BQ523"/>
      <c r="BR523"/>
      <c r="BS523"/>
      <c r="BT523"/>
      <c r="BU523"/>
      <c r="BV523"/>
      <c r="BW523"/>
      <c r="BX523"/>
      <c r="BY523"/>
      <c r="BZ523"/>
      <c r="CA523"/>
      <c r="CB523"/>
      <c r="CC523"/>
      <c r="CD523"/>
      <c r="CE523"/>
      <c r="CF523"/>
      <c r="CG523"/>
    </row>
    <row r="524" spans="4:85" ht="15">
      <c r="D524" s="1"/>
      <c r="E524" s="1"/>
      <c r="F524" s="1"/>
      <c r="G524" s="1"/>
      <c r="H524" s="1"/>
      <c r="I524" s="1"/>
      <c r="R524"/>
      <c r="S524"/>
      <c r="T524"/>
      <c r="U524"/>
      <c r="V524"/>
      <c r="W524"/>
      <c r="X524"/>
      <c r="Y524"/>
      <c r="Z524"/>
      <c r="AA524"/>
      <c r="AJ524"/>
      <c r="AL524"/>
      <c r="AM524"/>
      <c r="AN524"/>
      <c r="AO524"/>
      <c r="AP524"/>
      <c r="AQ524"/>
      <c r="AR524"/>
      <c r="AS524"/>
      <c r="AT524"/>
      <c r="AU524"/>
      <c r="AV524"/>
      <c r="AW524"/>
      <c r="AX524"/>
      <c r="AY524"/>
      <c r="AZ524"/>
      <c r="BA524"/>
      <c r="BB524"/>
      <c r="BC524"/>
      <c r="BD524"/>
      <c r="BE524"/>
      <c r="BF524"/>
      <c r="BG524"/>
      <c r="BH524"/>
      <c r="BI524"/>
      <c r="BJ524"/>
      <c r="BK524"/>
      <c r="BL524"/>
      <c r="BM524"/>
      <c r="BN524"/>
      <c r="BO524"/>
      <c r="BP524"/>
      <c r="BQ524"/>
      <c r="BR524"/>
      <c r="BS524"/>
      <c r="BT524"/>
      <c r="BU524"/>
      <c r="BV524"/>
      <c r="BW524"/>
      <c r="BX524"/>
      <c r="BY524"/>
      <c r="BZ524"/>
      <c r="CA524"/>
      <c r="CB524"/>
      <c r="CC524"/>
      <c r="CD524"/>
      <c r="CE524"/>
      <c r="CF524"/>
      <c r="CG524"/>
    </row>
    <row r="525" spans="4:85" ht="15">
      <c r="D525" s="1"/>
      <c r="E525" s="1"/>
      <c r="F525" s="1"/>
      <c r="G525" s="1"/>
      <c r="H525" s="1"/>
      <c r="I525" s="1"/>
      <c r="R525"/>
      <c r="S525"/>
      <c r="T525"/>
      <c r="U525"/>
      <c r="V525"/>
      <c r="W525"/>
      <c r="X525"/>
      <c r="Y525"/>
      <c r="Z525"/>
      <c r="AA525"/>
      <c r="AJ525"/>
      <c r="AL525"/>
      <c r="AM525"/>
      <c r="AN525"/>
      <c r="AO525"/>
      <c r="AP525"/>
      <c r="AQ525"/>
      <c r="AR525"/>
      <c r="AS525"/>
      <c r="AT525"/>
      <c r="AU525"/>
      <c r="AV525"/>
      <c r="AW525"/>
      <c r="AX525"/>
      <c r="AY525"/>
      <c r="AZ525"/>
      <c r="BA525"/>
      <c r="BB525"/>
      <c r="BC525"/>
      <c r="BD525"/>
      <c r="BE525"/>
      <c r="BF525"/>
      <c r="BG525"/>
      <c r="BH525"/>
      <c r="BI525"/>
      <c r="BJ525"/>
      <c r="BK525"/>
      <c r="BL525"/>
      <c r="BM525"/>
      <c r="BN525"/>
      <c r="BO525"/>
      <c r="BP525"/>
      <c r="BQ525"/>
      <c r="BR525"/>
      <c r="BS525"/>
      <c r="BT525"/>
      <c r="BU525"/>
      <c r="BV525"/>
      <c r="BW525"/>
      <c r="BX525"/>
      <c r="BY525"/>
      <c r="BZ525"/>
      <c r="CA525"/>
      <c r="CB525"/>
      <c r="CC525"/>
      <c r="CD525"/>
      <c r="CE525"/>
      <c r="CF525"/>
      <c r="CG525"/>
    </row>
    <row r="526" spans="4:85" ht="15">
      <c r="D526" s="1"/>
      <c r="E526" s="1"/>
      <c r="F526" s="1"/>
      <c r="G526" s="1"/>
      <c r="H526" s="1"/>
      <c r="I526" s="1"/>
      <c r="R526"/>
      <c r="S526"/>
      <c r="T526"/>
      <c r="U526"/>
      <c r="V526"/>
      <c r="W526"/>
      <c r="X526"/>
      <c r="Y526"/>
      <c r="Z526"/>
      <c r="AA526"/>
      <c r="AJ526"/>
      <c r="AL526"/>
      <c r="AM526"/>
      <c r="AN526"/>
      <c r="AO526"/>
      <c r="AP526"/>
      <c r="AQ526"/>
      <c r="AR526"/>
      <c r="AS526"/>
      <c r="AT526"/>
      <c r="AU526"/>
      <c r="AV526"/>
      <c r="AW526"/>
      <c r="AX526"/>
      <c r="AY526"/>
      <c r="AZ526"/>
      <c r="BA526"/>
      <c r="BB526"/>
      <c r="BC526"/>
      <c r="BD526"/>
      <c r="BE526"/>
      <c r="BF526"/>
      <c r="BG526"/>
      <c r="BH526"/>
      <c r="BI526"/>
      <c r="BJ526"/>
      <c r="BK526"/>
      <c r="BL526"/>
      <c r="BM526"/>
      <c r="BN526"/>
      <c r="BO526"/>
      <c r="BP526"/>
      <c r="BQ526"/>
      <c r="BR526"/>
      <c r="BS526"/>
      <c r="BT526"/>
      <c r="BU526"/>
      <c r="BV526"/>
      <c r="BW526"/>
      <c r="BX526"/>
      <c r="BY526"/>
      <c r="BZ526"/>
      <c r="CA526"/>
      <c r="CB526"/>
      <c r="CC526"/>
      <c r="CD526"/>
      <c r="CE526"/>
      <c r="CF526"/>
      <c r="CG526"/>
    </row>
    <row r="527" spans="4:85" ht="15">
      <c r="D527" s="1"/>
      <c r="E527" s="1"/>
      <c r="F527" s="1"/>
      <c r="G527" s="1"/>
      <c r="H527" s="1"/>
      <c r="I527" s="1"/>
      <c r="R527"/>
      <c r="S527"/>
      <c r="T527"/>
      <c r="U527"/>
      <c r="V527"/>
      <c r="W527"/>
      <c r="X527"/>
      <c r="Y527"/>
      <c r="Z527"/>
      <c r="AA527"/>
      <c r="AJ527"/>
      <c r="AL527"/>
      <c r="AM527"/>
      <c r="AN527"/>
      <c r="AO527"/>
      <c r="AP527"/>
      <c r="AQ527"/>
      <c r="AR527"/>
      <c r="AS527"/>
      <c r="AT527"/>
      <c r="AU527"/>
      <c r="AV527"/>
      <c r="AW527"/>
      <c r="AX527"/>
      <c r="AY527"/>
      <c r="AZ527"/>
      <c r="BA527"/>
      <c r="BB527"/>
      <c r="BC527"/>
      <c r="BD527"/>
      <c r="BE527"/>
      <c r="BF527"/>
      <c r="BG527"/>
      <c r="BH527"/>
      <c r="BI527"/>
      <c r="BJ527"/>
      <c r="BK527"/>
      <c r="BL527"/>
      <c r="BM527"/>
      <c r="BN527"/>
      <c r="BO527"/>
      <c r="BP527"/>
      <c r="BQ527"/>
      <c r="BR527"/>
      <c r="BS527"/>
      <c r="BT527"/>
      <c r="BU527"/>
      <c r="BV527"/>
      <c r="BW527"/>
      <c r="BX527"/>
      <c r="BY527"/>
      <c r="BZ527"/>
      <c r="CA527"/>
      <c r="CB527"/>
      <c r="CC527"/>
      <c r="CD527"/>
      <c r="CE527"/>
      <c r="CF527"/>
      <c r="CG527"/>
    </row>
    <row r="528" spans="4:85" ht="15">
      <c r="D528" s="1"/>
      <c r="E528" s="1"/>
      <c r="F528" s="1"/>
      <c r="G528" s="1"/>
      <c r="H528" s="1"/>
      <c r="I528" s="1"/>
      <c r="R528"/>
      <c r="S528"/>
      <c r="T528"/>
      <c r="U528"/>
      <c r="V528"/>
      <c r="W528"/>
      <c r="X528"/>
      <c r="Y528"/>
      <c r="Z528"/>
      <c r="AA528"/>
      <c r="AJ528"/>
      <c r="AL528"/>
      <c r="AM528"/>
      <c r="AN528"/>
      <c r="AO528"/>
      <c r="AP528"/>
      <c r="AQ528"/>
      <c r="AR528"/>
      <c r="AS528"/>
      <c r="AT528"/>
      <c r="AU528"/>
      <c r="AV528"/>
      <c r="AW528"/>
      <c r="AX528"/>
      <c r="AY528"/>
      <c r="AZ528"/>
      <c r="BA528"/>
      <c r="BB528"/>
      <c r="BC528"/>
      <c r="BD528"/>
      <c r="BE528"/>
      <c r="BF528"/>
      <c r="BG528"/>
      <c r="BH528"/>
      <c r="BI528"/>
      <c r="BJ528"/>
      <c r="BK528"/>
      <c r="BL528"/>
      <c r="BM528"/>
      <c r="BN528"/>
      <c r="BO528"/>
      <c r="BP528"/>
      <c r="BQ528"/>
      <c r="BR528"/>
      <c r="BS528"/>
      <c r="BT528"/>
      <c r="BU528"/>
      <c r="BV528"/>
      <c r="BW528"/>
      <c r="BX528"/>
      <c r="BY528"/>
      <c r="BZ528"/>
      <c r="CA528"/>
      <c r="CB528"/>
      <c r="CC528"/>
      <c r="CD528"/>
      <c r="CE528"/>
      <c r="CF528"/>
      <c r="CG528"/>
    </row>
    <row r="529" spans="4:85" ht="15">
      <c r="D529" s="1"/>
      <c r="E529" s="1"/>
      <c r="F529" s="1"/>
      <c r="G529" s="1"/>
      <c r="H529" s="1"/>
      <c r="I529" s="1"/>
      <c r="R529"/>
      <c r="S529"/>
      <c r="T529"/>
      <c r="U529"/>
      <c r="V529"/>
      <c r="W529"/>
      <c r="X529"/>
      <c r="Y529"/>
      <c r="Z529"/>
      <c r="AA529"/>
      <c r="AJ529"/>
      <c r="AL529"/>
      <c r="AM529"/>
      <c r="AN529"/>
      <c r="AO529"/>
      <c r="AP529"/>
      <c r="AQ529"/>
      <c r="AR529"/>
      <c r="AS529"/>
      <c r="AT529"/>
      <c r="AU529"/>
      <c r="AV529"/>
      <c r="AW529"/>
      <c r="AX529"/>
      <c r="AY529"/>
      <c r="AZ529"/>
      <c r="BA529"/>
      <c r="BB529"/>
      <c r="BC529"/>
      <c r="BD529"/>
      <c r="BE529"/>
      <c r="BF529"/>
      <c r="BG529"/>
      <c r="BH529"/>
      <c r="BI529"/>
      <c r="BJ529"/>
      <c r="BK529"/>
      <c r="BL529"/>
      <c r="BM529"/>
      <c r="BN529"/>
      <c r="BO529"/>
      <c r="BP529"/>
      <c r="BQ529"/>
      <c r="BR529"/>
      <c r="BS529"/>
      <c r="BT529"/>
      <c r="BU529"/>
      <c r="BV529"/>
      <c r="BW529"/>
      <c r="BX529"/>
      <c r="BY529"/>
      <c r="BZ529"/>
      <c r="CA529"/>
      <c r="CB529"/>
      <c r="CC529"/>
      <c r="CD529"/>
      <c r="CE529"/>
      <c r="CF529"/>
      <c r="CG529"/>
    </row>
    <row r="530" spans="4:85" ht="15">
      <c r="D530" s="1"/>
      <c r="E530" s="1"/>
      <c r="F530" s="1"/>
      <c r="G530" s="1"/>
      <c r="H530" s="1"/>
      <c r="I530" s="1"/>
      <c r="R530"/>
      <c r="S530"/>
      <c r="T530"/>
      <c r="U530"/>
      <c r="V530"/>
      <c r="W530"/>
      <c r="X530"/>
      <c r="Y530"/>
      <c r="Z530"/>
      <c r="AA530"/>
      <c r="AJ530"/>
      <c r="AL530"/>
      <c r="AM530"/>
      <c r="AN530"/>
      <c r="AO530"/>
      <c r="AP530"/>
      <c r="AQ530"/>
      <c r="AR530"/>
      <c r="AS530"/>
      <c r="AT530"/>
      <c r="AU530"/>
      <c r="AV530"/>
      <c r="AW530"/>
      <c r="AX530"/>
      <c r="AY530"/>
      <c r="AZ530"/>
      <c r="BA530"/>
      <c r="BB530"/>
      <c r="BC530"/>
      <c r="BD530"/>
      <c r="BE530"/>
      <c r="BF530"/>
      <c r="BG530"/>
      <c r="BH530"/>
      <c r="BI530"/>
      <c r="BJ530"/>
      <c r="BK530"/>
      <c r="BL530"/>
      <c r="BM530"/>
      <c r="BN530"/>
      <c r="BO530"/>
      <c r="BP530"/>
      <c r="BQ530"/>
      <c r="BR530"/>
      <c r="BS530"/>
      <c r="BT530"/>
      <c r="BU530"/>
      <c r="BV530"/>
      <c r="BW530"/>
      <c r="BX530"/>
      <c r="BY530"/>
      <c r="BZ530"/>
      <c r="CA530"/>
      <c r="CB530"/>
      <c r="CC530"/>
      <c r="CD530"/>
      <c r="CE530"/>
      <c r="CF530"/>
      <c r="CG530"/>
    </row>
    <row r="531" spans="4:85" ht="15">
      <c r="D531" s="1"/>
      <c r="E531" s="1"/>
      <c r="F531" s="1"/>
      <c r="G531" s="1"/>
      <c r="H531" s="1"/>
      <c r="I531" s="1"/>
      <c r="R531"/>
      <c r="S531"/>
      <c r="T531"/>
      <c r="U531"/>
      <c r="V531"/>
      <c r="W531"/>
      <c r="X531"/>
      <c r="Y531"/>
      <c r="Z531"/>
      <c r="AA531"/>
      <c r="AJ531"/>
      <c r="AL531"/>
      <c r="AM531"/>
      <c r="AN531"/>
      <c r="AO531"/>
      <c r="AP531"/>
      <c r="AQ531"/>
      <c r="AR531"/>
      <c r="AS531"/>
      <c r="AT531"/>
      <c r="AU531"/>
      <c r="AV531"/>
      <c r="AW531"/>
      <c r="AX531"/>
      <c r="AY531"/>
      <c r="AZ531"/>
      <c r="BA531"/>
      <c r="BB531"/>
      <c r="BC531"/>
      <c r="BD531"/>
      <c r="BE531"/>
      <c r="BF531"/>
      <c r="BG531"/>
      <c r="BH531"/>
      <c r="BI531"/>
      <c r="BJ531"/>
      <c r="BK531"/>
      <c r="BL531"/>
      <c r="BM531"/>
      <c r="BN531"/>
      <c r="BO531"/>
      <c r="BP531"/>
      <c r="BQ531"/>
      <c r="BR531"/>
      <c r="BS531"/>
      <c r="BT531"/>
      <c r="BU531"/>
      <c r="BV531"/>
      <c r="BW531"/>
      <c r="BX531"/>
      <c r="BY531"/>
      <c r="BZ531"/>
      <c r="CA531"/>
      <c r="CB531"/>
      <c r="CC531"/>
      <c r="CD531"/>
      <c r="CE531"/>
      <c r="CF531"/>
      <c r="CG531"/>
    </row>
    <row r="532" spans="4:85" ht="15">
      <c r="D532" s="1"/>
      <c r="E532" s="1"/>
      <c r="F532" s="1"/>
      <c r="G532" s="1"/>
      <c r="H532" s="1"/>
      <c r="I532" s="1"/>
      <c r="R532"/>
      <c r="S532"/>
      <c r="T532"/>
      <c r="U532"/>
      <c r="V532"/>
      <c r="W532"/>
      <c r="X532"/>
      <c r="Y532"/>
      <c r="Z532"/>
      <c r="AA532"/>
      <c r="AJ532"/>
      <c r="AL532"/>
      <c r="AM532"/>
      <c r="AN532"/>
      <c r="AO532"/>
      <c r="AP532"/>
      <c r="AQ532"/>
      <c r="AR532"/>
      <c r="AS532"/>
      <c r="AT532"/>
      <c r="AU532"/>
      <c r="AV532"/>
      <c r="AW532"/>
      <c r="AX532"/>
      <c r="AY532"/>
      <c r="AZ532"/>
      <c r="BA532"/>
      <c r="BB532"/>
      <c r="BC532"/>
      <c r="BD532"/>
      <c r="BE532"/>
      <c r="BF532"/>
      <c r="BG532"/>
      <c r="BH532"/>
      <c r="BI532"/>
      <c r="BJ532"/>
      <c r="BK532"/>
      <c r="BL532"/>
      <c r="BM532"/>
      <c r="BN532"/>
      <c r="BO532"/>
      <c r="BP532"/>
      <c r="BQ532"/>
      <c r="BR532"/>
      <c r="BS532"/>
      <c r="BT532"/>
      <c r="BU532"/>
      <c r="BV532"/>
      <c r="BW532"/>
      <c r="BX532"/>
      <c r="BY532"/>
      <c r="BZ532"/>
      <c r="CA532"/>
      <c r="CB532"/>
      <c r="CC532"/>
      <c r="CD532"/>
      <c r="CE532"/>
      <c r="CF532"/>
      <c r="CG532"/>
    </row>
    <row r="533" spans="4:85" ht="15">
      <c r="D533" s="1"/>
      <c r="E533" s="1"/>
      <c r="F533" s="1"/>
      <c r="G533" s="1"/>
      <c r="H533" s="1"/>
      <c r="I533" s="1"/>
      <c r="R533"/>
      <c r="S533"/>
      <c r="T533"/>
      <c r="U533"/>
      <c r="V533"/>
      <c r="W533"/>
      <c r="X533"/>
      <c r="Y533"/>
      <c r="Z533"/>
      <c r="AA533"/>
      <c r="AJ533"/>
      <c r="AL533"/>
      <c r="AM533"/>
      <c r="AN533"/>
      <c r="AO533"/>
      <c r="AP533"/>
      <c r="AQ533"/>
      <c r="AR533"/>
      <c r="AS533"/>
      <c r="AT533"/>
      <c r="AU533"/>
      <c r="AV533"/>
      <c r="AW533"/>
      <c r="AX533"/>
      <c r="AY533"/>
      <c r="AZ533"/>
      <c r="BA533"/>
      <c r="BB533"/>
      <c r="BC533"/>
      <c r="BD533"/>
      <c r="BE533"/>
      <c r="BF533"/>
      <c r="BG533"/>
      <c r="BH533"/>
      <c r="BI533"/>
      <c r="BJ533"/>
      <c r="BK533"/>
      <c r="BL533"/>
      <c r="BM533"/>
      <c r="BN533"/>
      <c r="BO533"/>
      <c r="BP533"/>
      <c r="BQ533"/>
      <c r="BR533"/>
      <c r="BS533"/>
      <c r="BT533"/>
      <c r="BU533"/>
      <c r="BV533"/>
      <c r="BW533"/>
      <c r="BX533"/>
      <c r="BY533"/>
      <c r="BZ533"/>
      <c r="CA533"/>
      <c r="CB533"/>
      <c r="CC533"/>
      <c r="CD533"/>
      <c r="CE533"/>
      <c r="CF533"/>
      <c r="CG533"/>
    </row>
    <row r="534" spans="4:85" ht="15">
      <c r="D534" s="1"/>
      <c r="E534" s="1"/>
      <c r="F534" s="1"/>
      <c r="G534" s="1"/>
      <c r="H534" s="1"/>
      <c r="I534" s="1"/>
      <c r="R534"/>
      <c r="S534"/>
      <c r="T534"/>
      <c r="U534"/>
      <c r="V534"/>
      <c r="W534"/>
      <c r="X534"/>
      <c r="Y534"/>
      <c r="Z534"/>
      <c r="AA534"/>
      <c r="AJ534"/>
      <c r="AL534"/>
      <c r="AM534"/>
      <c r="AN534"/>
      <c r="AO534"/>
      <c r="AP534"/>
      <c r="AQ534"/>
      <c r="AR534"/>
      <c r="AS534"/>
      <c r="AT534"/>
      <c r="AU534"/>
      <c r="AV534"/>
      <c r="AW534"/>
      <c r="AX534"/>
      <c r="AY534"/>
      <c r="AZ534"/>
      <c r="BA534"/>
      <c r="BB534"/>
      <c r="BC534"/>
      <c r="BD534"/>
      <c r="BE534"/>
      <c r="BF534"/>
      <c r="BG534"/>
      <c r="BH534"/>
      <c r="BI534"/>
      <c r="BJ534"/>
      <c r="BK534"/>
      <c r="BL534"/>
      <c r="BM534"/>
      <c r="BN534"/>
      <c r="BO534"/>
      <c r="BP534"/>
      <c r="BQ534"/>
      <c r="BR534"/>
      <c r="BS534"/>
      <c r="BT534"/>
      <c r="BU534"/>
      <c r="BV534"/>
      <c r="BW534"/>
      <c r="BX534"/>
      <c r="BY534"/>
      <c r="BZ534"/>
      <c r="CA534"/>
      <c r="CB534"/>
      <c r="CC534"/>
      <c r="CD534"/>
      <c r="CE534"/>
      <c r="CF534"/>
      <c r="CG534"/>
    </row>
    <row r="535" spans="4:85" ht="15">
      <c r="D535" s="1"/>
      <c r="E535" s="1"/>
      <c r="F535" s="1"/>
      <c r="G535" s="1"/>
      <c r="H535" s="1"/>
      <c r="I535" s="1"/>
      <c r="R535"/>
      <c r="S535"/>
      <c r="T535"/>
      <c r="U535"/>
      <c r="V535"/>
      <c r="W535"/>
      <c r="X535"/>
      <c r="Y535"/>
      <c r="Z535"/>
      <c r="AA535"/>
      <c r="AJ535"/>
      <c r="AL535"/>
      <c r="AM535"/>
      <c r="AN535"/>
      <c r="AO535"/>
      <c r="AP535"/>
      <c r="AQ535"/>
      <c r="AR535"/>
      <c r="AS535"/>
      <c r="AT535"/>
      <c r="AU535"/>
      <c r="AV535"/>
      <c r="AW535"/>
      <c r="AX535"/>
      <c r="AY535"/>
      <c r="AZ535"/>
      <c r="BA535"/>
      <c r="BB535"/>
      <c r="BC535"/>
      <c r="BD535"/>
      <c r="BE535"/>
      <c r="BF535"/>
      <c r="BG535"/>
      <c r="BH535"/>
      <c r="BI535"/>
      <c r="BJ535"/>
      <c r="BK535"/>
      <c r="BL535"/>
      <c r="BM535"/>
      <c r="BN535"/>
      <c r="BO535"/>
      <c r="BP535"/>
      <c r="BQ535"/>
      <c r="BR535"/>
      <c r="BS535"/>
      <c r="BT535"/>
      <c r="BU535"/>
      <c r="BV535"/>
      <c r="BW535"/>
      <c r="BX535"/>
      <c r="BY535"/>
      <c r="BZ535"/>
      <c r="CA535"/>
      <c r="CB535"/>
      <c r="CC535"/>
      <c r="CD535"/>
      <c r="CE535"/>
      <c r="CF535"/>
      <c r="CG535"/>
    </row>
    <row r="536" spans="4:85" ht="15">
      <c r="D536" s="1"/>
      <c r="E536" s="1"/>
      <c r="F536" s="1"/>
      <c r="G536" s="1"/>
      <c r="H536" s="1"/>
      <c r="I536" s="1"/>
      <c r="R536"/>
      <c r="S536"/>
      <c r="T536"/>
      <c r="U536"/>
      <c r="V536"/>
      <c r="W536"/>
      <c r="X536"/>
      <c r="Y536"/>
      <c r="Z536"/>
      <c r="AA536"/>
      <c r="AJ536"/>
      <c r="AL536"/>
      <c r="AM536"/>
      <c r="AN536"/>
      <c r="AO536"/>
      <c r="AP536"/>
      <c r="AQ536"/>
      <c r="AR536"/>
      <c r="AS536"/>
      <c r="AT536"/>
      <c r="AU536"/>
      <c r="AV536"/>
      <c r="AW536"/>
      <c r="AX536"/>
      <c r="AY536"/>
      <c r="AZ536"/>
      <c r="BA536"/>
      <c r="BB536"/>
      <c r="BC536"/>
      <c r="BD536"/>
      <c r="BE536"/>
      <c r="BF536"/>
      <c r="BG536"/>
      <c r="BH536"/>
      <c r="BI536"/>
      <c r="BJ536"/>
      <c r="BK536"/>
      <c r="BL536"/>
      <c r="BM536"/>
      <c r="BN536"/>
      <c r="BO536"/>
      <c r="BP536"/>
      <c r="BQ536"/>
      <c r="BR536"/>
      <c r="BS536"/>
      <c r="BT536"/>
      <c r="BU536"/>
      <c r="BV536"/>
      <c r="BW536"/>
      <c r="BX536"/>
      <c r="BY536"/>
      <c r="BZ536"/>
      <c r="CA536"/>
      <c r="CB536"/>
      <c r="CC536"/>
      <c r="CD536"/>
      <c r="CE536"/>
      <c r="CF536"/>
      <c r="CG536"/>
    </row>
    <row r="537" spans="4:85" ht="15">
      <c r="D537" s="1"/>
      <c r="E537" s="1"/>
      <c r="F537" s="1"/>
      <c r="G537" s="1"/>
      <c r="H537" s="1"/>
      <c r="I537" s="1"/>
      <c r="R537"/>
      <c r="S537"/>
      <c r="T537"/>
      <c r="U537"/>
      <c r="V537"/>
      <c r="W537"/>
      <c r="X537"/>
      <c r="Y537"/>
      <c r="Z537"/>
      <c r="AA537"/>
      <c r="AJ537"/>
      <c r="AL537"/>
      <c r="AM537"/>
      <c r="AN537"/>
      <c r="AO537"/>
      <c r="AP537"/>
      <c r="AQ537"/>
      <c r="AR537"/>
      <c r="AS537"/>
      <c r="AT537"/>
      <c r="AU537"/>
      <c r="AV537"/>
      <c r="AW537"/>
      <c r="AX537"/>
      <c r="AY537"/>
      <c r="AZ537"/>
      <c r="BA537"/>
      <c r="BB537"/>
      <c r="BC537"/>
      <c r="BD537"/>
      <c r="BE537"/>
      <c r="BF537"/>
      <c r="BG537"/>
      <c r="BH537"/>
      <c r="BI537"/>
      <c r="BJ537"/>
      <c r="BK537"/>
      <c r="BL537"/>
      <c r="BM537"/>
      <c r="BN537"/>
      <c r="BO537"/>
      <c r="BP537"/>
      <c r="BQ537"/>
      <c r="BR537"/>
      <c r="BS537"/>
      <c r="BT537"/>
      <c r="BU537"/>
      <c r="BV537"/>
      <c r="BW537"/>
      <c r="BX537"/>
      <c r="BY537"/>
      <c r="BZ537"/>
      <c r="CA537"/>
      <c r="CB537"/>
      <c r="CC537"/>
      <c r="CD537"/>
      <c r="CE537"/>
      <c r="CF537"/>
      <c r="CG537"/>
    </row>
    <row r="538" spans="4:85" ht="15">
      <c r="D538" s="1"/>
      <c r="E538" s="1"/>
      <c r="F538" s="1"/>
      <c r="G538" s="1"/>
      <c r="H538" s="1"/>
      <c r="I538" s="1"/>
      <c r="R538"/>
      <c r="S538"/>
      <c r="T538"/>
      <c r="U538"/>
      <c r="V538"/>
      <c r="W538"/>
      <c r="X538"/>
      <c r="Y538"/>
      <c r="Z538"/>
      <c r="AA538"/>
      <c r="AJ538"/>
      <c r="AL538"/>
      <c r="AM538"/>
      <c r="AN538"/>
      <c r="AO538"/>
      <c r="AP538"/>
      <c r="AQ538"/>
      <c r="AR538"/>
      <c r="AS538"/>
      <c r="AT538"/>
      <c r="AU538"/>
      <c r="AV538"/>
      <c r="AW538"/>
      <c r="AX538"/>
      <c r="AY538"/>
      <c r="AZ538"/>
      <c r="BA538"/>
      <c r="BB538"/>
      <c r="BC538"/>
      <c r="BD538"/>
      <c r="BE538"/>
      <c r="BF538"/>
      <c r="BG538"/>
      <c r="BH538"/>
      <c r="BI538"/>
      <c r="BJ538"/>
      <c r="BK538"/>
      <c r="BL538"/>
      <c r="BM538"/>
      <c r="BN538"/>
      <c r="BO538"/>
      <c r="BP538"/>
      <c r="BQ538"/>
      <c r="BR538"/>
      <c r="BS538"/>
      <c r="BT538"/>
      <c r="BU538"/>
      <c r="BV538"/>
      <c r="BW538"/>
      <c r="BX538"/>
      <c r="BY538"/>
      <c r="BZ538"/>
      <c r="CA538"/>
      <c r="CB538"/>
      <c r="CC538"/>
      <c r="CD538"/>
      <c r="CE538"/>
      <c r="CF538"/>
      <c r="CG538"/>
    </row>
    <row r="539" spans="4:85" ht="15">
      <c r="D539" s="1"/>
      <c r="E539" s="1"/>
      <c r="F539" s="1"/>
      <c r="G539" s="1"/>
      <c r="H539" s="1"/>
      <c r="I539" s="1"/>
      <c r="R539"/>
      <c r="S539"/>
      <c r="T539"/>
      <c r="U539"/>
      <c r="V539"/>
      <c r="W539"/>
      <c r="X539"/>
      <c r="Y539"/>
      <c r="Z539"/>
      <c r="AA539"/>
      <c r="AJ539"/>
      <c r="AL539"/>
      <c r="AM539"/>
      <c r="AN539"/>
      <c r="AO539"/>
      <c r="AP539"/>
      <c r="AQ539"/>
      <c r="AR539"/>
      <c r="AS539"/>
      <c r="AT539"/>
      <c r="AU539"/>
      <c r="AV539"/>
      <c r="AW539"/>
      <c r="AX539"/>
      <c r="AY539"/>
      <c r="AZ539"/>
      <c r="BA539"/>
      <c r="BB539"/>
      <c r="BC539"/>
      <c r="BD539"/>
      <c r="BE539"/>
      <c r="BF539"/>
      <c r="BG539"/>
      <c r="BH539"/>
      <c r="BI539"/>
      <c r="BJ539"/>
      <c r="BK539"/>
      <c r="BL539"/>
      <c r="BM539"/>
      <c r="BN539"/>
      <c r="BO539"/>
      <c r="BP539"/>
      <c r="BQ539"/>
      <c r="BR539"/>
      <c r="BS539"/>
      <c r="BT539"/>
      <c r="BU539"/>
      <c r="BV539"/>
      <c r="BW539"/>
      <c r="BX539"/>
      <c r="BY539"/>
      <c r="BZ539"/>
      <c r="CA539"/>
      <c r="CB539"/>
      <c r="CC539"/>
      <c r="CD539"/>
      <c r="CE539"/>
      <c r="CF539"/>
      <c r="CG539"/>
    </row>
    <row r="540" spans="4:85" ht="15">
      <c r="D540" s="1"/>
      <c r="E540" s="1"/>
      <c r="F540" s="1"/>
      <c r="G540" s="1"/>
      <c r="H540" s="1"/>
      <c r="I540" s="1"/>
      <c r="R540"/>
      <c r="S540"/>
      <c r="T540"/>
      <c r="U540"/>
      <c r="V540"/>
      <c r="W540"/>
      <c r="X540"/>
      <c r="Y540"/>
      <c r="Z540"/>
      <c r="AA540"/>
      <c r="AJ540"/>
      <c r="AL540"/>
      <c r="AM540"/>
      <c r="AN540"/>
      <c r="AO540"/>
      <c r="AP540"/>
      <c r="AQ540"/>
      <c r="AR540"/>
      <c r="AS540"/>
      <c r="AT540"/>
      <c r="AU540"/>
      <c r="AV540"/>
      <c r="AW540"/>
      <c r="AX540"/>
      <c r="AY540"/>
      <c r="AZ540"/>
      <c r="BA540"/>
      <c r="BB540"/>
      <c r="BC540"/>
      <c r="BD540"/>
      <c r="BE540"/>
      <c r="BF540"/>
      <c r="BG540"/>
      <c r="BH540"/>
      <c r="BI540"/>
      <c r="BJ540"/>
      <c r="BK540"/>
      <c r="BL540"/>
      <c r="BM540"/>
      <c r="BN540"/>
      <c r="BO540"/>
      <c r="BP540"/>
      <c r="BQ540"/>
      <c r="BR540"/>
      <c r="BS540"/>
      <c r="BT540"/>
      <c r="BU540"/>
      <c r="BV540"/>
      <c r="BW540"/>
      <c r="BX540"/>
      <c r="BY540"/>
      <c r="BZ540"/>
      <c r="CA540"/>
      <c r="CB540"/>
      <c r="CC540"/>
      <c r="CD540"/>
      <c r="CE540"/>
      <c r="CF540"/>
      <c r="CG540"/>
    </row>
    <row r="541" spans="4:85" ht="15">
      <c r="D541" s="1"/>
      <c r="E541" s="1"/>
      <c r="F541" s="1"/>
      <c r="G541" s="1"/>
      <c r="H541" s="1"/>
      <c r="I541" s="1"/>
      <c r="R541"/>
      <c r="S541"/>
      <c r="T541"/>
      <c r="U541"/>
      <c r="V541"/>
      <c r="W541"/>
      <c r="X541"/>
      <c r="Y541"/>
      <c r="Z541"/>
      <c r="AA541"/>
      <c r="AJ541"/>
      <c r="AL541"/>
      <c r="AM541"/>
      <c r="AN541"/>
      <c r="AO541"/>
      <c r="AP541"/>
      <c r="AQ541"/>
      <c r="AR541"/>
      <c r="AS541"/>
      <c r="AT541"/>
      <c r="AU541"/>
      <c r="AV541"/>
      <c r="AW541"/>
      <c r="AX541"/>
      <c r="AY541"/>
      <c r="AZ541"/>
      <c r="BA541"/>
      <c r="BB541"/>
      <c r="BC541"/>
      <c r="BD541"/>
      <c r="BE541"/>
      <c r="BF541"/>
      <c r="BG541"/>
      <c r="BH541"/>
      <c r="BI541"/>
      <c r="BJ541"/>
      <c r="BK541"/>
      <c r="BL541"/>
      <c r="BM541"/>
      <c r="BN541"/>
      <c r="BO541"/>
      <c r="BP541"/>
      <c r="BQ541"/>
      <c r="BR541"/>
      <c r="BS541"/>
      <c r="BT541"/>
      <c r="BU541"/>
      <c r="BV541"/>
      <c r="BW541"/>
      <c r="BX541"/>
      <c r="BY541"/>
      <c r="BZ541"/>
      <c r="CA541"/>
      <c r="CB541"/>
      <c r="CC541"/>
      <c r="CD541"/>
      <c r="CE541"/>
      <c r="CF541"/>
      <c r="CG541"/>
    </row>
    <row r="542" spans="4:85" ht="15">
      <c r="D542" s="1"/>
      <c r="E542" s="1"/>
      <c r="F542" s="1"/>
      <c r="G542" s="1"/>
      <c r="H542" s="1"/>
      <c r="I542" s="1"/>
      <c r="R542"/>
      <c r="S542"/>
      <c r="T542"/>
      <c r="U542"/>
      <c r="V542"/>
      <c r="W542"/>
      <c r="X542"/>
      <c r="Y542"/>
      <c r="Z542"/>
      <c r="AA542"/>
      <c r="AJ542"/>
      <c r="AL542"/>
      <c r="AM542"/>
      <c r="AN542"/>
      <c r="AO542"/>
      <c r="AP542"/>
      <c r="AQ542"/>
      <c r="AR542"/>
      <c r="AS542"/>
      <c r="AT542"/>
      <c r="AU542"/>
      <c r="AV542"/>
      <c r="AW542"/>
      <c r="AX542"/>
      <c r="AY542"/>
      <c r="AZ542"/>
      <c r="BA542"/>
      <c r="BB542"/>
      <c r="BC542"/>
      <c r="BD542"/>
      <c r="BE542"/>
      <c r="BF542"/>
      <c r="BG542"/>
      <c r="BH542"/>
      <c r="BI542"/>
      <c r="BJ542"/>
      <c r="BK542"/>
      <c r="BL542"/>
      <c r="BM542"/>
      <c r="BN542"/>
      <c r="BO542"/>
      <c r="BP542"/>
      <c r="BQ542"/>
      <c r="BR542"/>
      <c r="BS542"/>
      <c r="BT542"/>
      <c r="BU542"/>
      <c r="BV542"/>
      <c r="BW542"/>
      <c r="BX542"/>
      <c r="BY542"/>
      <c r="BZ542"/>
      <c r="CA542"/>
      <c r="CB542"/>
      <c r="CC542"/>
      <c r="CD542"/>
      <c r="CE542"/>
      <c r="CF542"/>
      <c r="CG542"/>
    </row>
    <row r="543" spans="4:85" ht="15">
      <c r="D543" s="1"/>
      <c r="E543" s="1"/>
      <c r="F543" s="1"/>
      <c r="G543" s="1"/>
      <c r="H543" s="1"/>
      <c r="I543" s="1"/>
      <c r="R543"/>
      <c r="S543"/>
      <c r="T543"/>
      <c r="U543"/>
      <c r="V543"/>
      <c r="W543"/>
      <c r="X543"/>
      <c r="Y543"/>
      <c r="Z543"/>
      <c r="AA543"/>
      <c r="AJ543"/>
      <c r="AL543"/>
      <c r="AM543"/>
      <c r="AN543"/>
      <c r="AO543"/>
      <c r="AP543"/>
      <c r="AQ543"/>
      <c r="AR543"/>
      <c r="AS543"/>
      <c r="AT543"/>
      <c r="AU543"/>
      <c r="AV543"/>
      <c r="AW543"/>
      <c r="AX543"/>
      <c r="AY543"/>
      <c r="AZ543"/>
      <c r="BA543"/>
      <c r="BB543"/>
      <c r="BC543"/>
      <c r="BD543"/>
      <c r="BE543"/>
      <c r="BF543"/>
      <c r="BG543"/>
      <c r="BH543"/>
      <c r="BI543"/>
      <c r="BJ543"/>
      <c r="BK543"/>
      <c r="BL543"/>
      <c r="BM543"/>
      <c r="BN543"/>
      <c r="BO543"/>
      <c r="BP543"/>
      <c r="BQ543"/>
      <c r="BR543"/>
      <c r="BS543"/>
      <c r="BT543"/>
      <c r="BU543"/>
      <c r="BV543"/>
      <c r="BW543"/>
      <c r="BX543"/>
      <c r="BY543"/>
      <c r="BZ543"/>
      <c r="CA543"/>
      <c r="CB543"/>
      <c r="CC543"/>
      <c r="CD543"/>
      <c r="CE543"/>
      <c r="CF543"/>
      <c r="CG543"/>
    </row>
    <row r="544" spans="4:85" ht="15">
      <c r="D544" s="1"/>
      <c r="E544" s="1"/>
      <c r="F544" s="1"/>
      <c r="G544" s="1"/>
      <c r="H544" s="1"/>
      <c r="I544" s="1"/>
      <c r="R544"/>
      <c r="S544"/>
      <c r="T544"/>
      <c r="U544"/>
      <c r="V544"/>
      <c r="W544"/>
      <c r="X544"/>
      <c r="Y544"/>
      <c r="Z544"/>
      <c r="AA544"/>
      <c r="AJ544"/>
      <c r="AL544"/>
      <c r="AM544"/>
      <c r="AN544"/>
      <c r="AO544"/>
      <c r="AP544"/>
      <c r="AQ544"/>
      <c r="AR544"/>
      <c r="AS544"/>
      <c r="AT544"/>
      <c r="AU544"/>
      <c r="AV544"/>
      <c r="AW544"/>
      <c r="AX544"/>
      <c r="AY544"/>
      <c r="AZ544"/>
      <c r="BA544"/>
      <c r="BB544"/>
      <c r="BC544"/>
      <c r="BD544"/>
      <c r="BE544"/>
      <c r="BF544"/>
      <c r="BG544"/>
      <c r="BH544"/>
      <c r="BI544"/>
      <c r="BJ544"/>
      <c r="BK544"/>
      <c r="BL544"/>
      <c r="BM544"/>
      <c r="BN544"/>
      <c r="BO544"/>
      <c r="BP544"/>
      <c r="BQ544"/>
      <c r="BR544"/>
      <c r="BS544"/>
      <c r="BT544"/>
      <c r="BU544"/>
      <c r="BV544"/>
      <c r="BW544"/>
      <c r="BX544"/>
      <c r="BY544"/>
      <c r="BZ544"/>
      <c r="CA544"/>
      <c r="CB544"/>
      <c r="CC544"/>
      <c r="CD544"/>
      <c r="CE544"/>
      <c r="CF544"/>
      <c r="CG544"/>
    </row>
    <row r="545" spans="4:85" ht="15">
      <c r="D545" s="1"/>
      <c r="E545" s="1"/>
      <c r="F545" s="1"/>
      <c r="G545" s="1"/>
      <c r="H545" s="1"/>
      <c r="I545" s="1"/>
      <c r="R545"/>
      <c r="S545"/>
      <c r="T545"/>
      <c r="U545"/>
      <c r="V545"/>
      <c r="W545"/>
      <c r="X545"/>
      <c r="Y545"/>
      <c r="Z545"/>
      <c r="AA545"/>
      <c r="AJ545"/>
      <c r="AL545"/>
      <c r="AM545"/>
      <c r="AN545"/>
      <c r="AO545"/>
      <c r="AP545"/>
      <c r="AQ545"/>
      <c r="AR545"/>
      <c r="AS545"/>
      <c r="AT545"/>
      <c r="AU545"/>
      <c r="AV545"/>
      <c r="AW545"/>
      <c r="AX545"/>
      <c r="AY545"/>
      <c r="AZ545"/>
      <c r="BA545"/>
      <c r="BB545"/>
      <c r="BC545"/>
      <c r="BD545"/>
      <c r="BE545"/>
      <c r="BF545"/>
      <c r="BG545"/>
      <c r="BH545"/>
      <c r="BI545"/>
      <c r="BJ545"/>
      <c r="BK545"/>
      <c r="BL545"/>
      <c r="BM545"/>
      <c r="BN545"/>
      <c r="BO545"/>
      <c r="BP545"/>
      <c r="BQ545"/>
      <c r="BR545"/>
      <c r="BS545"/>
      <c r="BT545"/>
      <c r="BU545"/>
      <c r="BV545"/>
      <c r="BW545"/>
      <c r="BX545"/>
      <c r="BY545"/>
      <c r="BZ545"/>
      <c r="CA545"/>
      <c r="CB545"/>
      <c r="CC545"/>
      <c r="CD545"/>
      <c r="CE545"/>
      <c r="CF545"/>
      <c r="CG545"/>
    </row>
    <row r="546" spans="4:85" ht="15">
      <c r="D546" s="1"/>
      <c r="E546" s="1"/>
      <c r="F546" s="1"/>
      <c r="G546" s="1"/>
      <c r="H546" s="1"/>
      <c r="I546" s="1"/>
      <c r="R546"/>
      <c r="S546"/>
      <c r="T546"/>
      <c r="U546"/>
      <c r="V546"/>
      <c r="W546"/>
      <c r="X546"/>
      <c r="Y546"/>
      <c r="Z546"/>
      <c r="AA546"/>
      <c r="AJ546"/>
      <c r="AL546"/>
      <c r="AM546"/>
      <c r="AN546"/>
      <c r="AO546"/>
      <c r="AP546"/>
      <c r="AQ546"/>
      <c r="AR546"/>
      <c r="AS546"/>
      <c r="AT546"/>
      <c r="AU546"/>
      <c r="AV546"/>
      <c r="AW546"/>
      <c r="AX546"/>
      <c r="AY546"/>
      <c r="AZ546"/>
      <c r="BA546"/>
      <c r="BB546"/>
      <c r="BC546"/>
      <c r="BD546"/>
      <c r="BE546"/>
      <c r="BF546"/>
      <c r="BG546"/>
      <c r="BH546"/>
      <c r="BI546"/>
      <c r="BJ546"/>
      <c r="BK546"/>
      <c r="BL546"/>
      <c r="BM546"/>
      <c r="BN546"/>
      <c r="BO546"/>
      <c r="BP546"/>
      <c r="BQ546"/>
      <c r="BR546"/>
      <c r="BS546"/>
      <c r="BT546"/>
      <c r="BU546"/>
      <c r="BV546"/>
      <c r="BW546"/>
      <c r="BX546"/>
      <c r="BY546"/>
      <c r="BZ546"/>
      <c r="CA546"/>
      <c r="CB546"/>
      <c r="CC546"/>
      <c r="CD546"/>
      <c r="CE546"/>
      <c r="CF546"/>
      <c r="CG546"/>
    </row>
    <row r="547" spans="4:85" ht="15">
      <c r="D547" s="1"/>
      <c r="E547" s="1"/>
      <c r="F547" s="1"/>
      <c r="G547" s="1"/>
      <c r="H547" s="1"/>
      <c r="I547" s="1"/>
      <c r="R547"/>
      <c r="S547"/>
      <c r="T547"/>
      <c r="U547"/>
      <c r="V547"/>
      <c r="W547"/>
      <c r="X547"/>
      <c r="Y547"/>
      <c r="Z547"/>
      <c r="AA547"/>
      <c r="AJ547"/>
      <c r="AL547"/>
      <c r="AM547"/>
      <c r="AN547"/>
      <c r="AO547"/>
      <c r="AP547"/>
      <c r="AQ547"/>
      <c r="AR547"/>
      <c r="AS547"/>
      <c r="AT547"/>
      <c r="AU547"/>
      <c r="AV547"/>
      <c r="AW547"/>
      <c r="AX547"/>
      <c r="AY547"/>
      <c r="AZ547"/>
      <c r="BA547"/>
      <c r="BB547"/>
      <c r="BC547"/>
      <c r="BD547"/>
      <c r="BE547"/>
      <c r="BF547"/>
      <c r="BG547"/>
      <c r="BH547"/>
      <c r="BI547"/>
      <c r="BJ547"/>
      <c r="BK547"/>
      <c r="BL547"/>
      <c r="BM547"/>
      <c r="BN547"/>
      <c r="BO547"/>
      <c r="BP547"/>
      <c r="BQ547"/>
      <c r="BR547"/>
      <c r="BS547"/>
      <c r="BT547"/>
      <c r="BU547"/>
      <c r="BV547"/>
      <c r="BW547"/>
      <c r="BX547"/>
      <c r="BY547"/>
      <c r="BZ547"/>
      <c r="CA547"/>
      <c r="CB547"/>
      <c r="CC547"/>
      <c r="CD547"/>
      <c r="CE547"/>
      <c r="CF547"/>
      <c r="CG547"/>
    </row>
    <row r="548" spans="4:85" ht="15">
      <c r="D548" s="1"/>
      <c r="E548" s="1"/>
      <c r="F548" s="1"/>
      <c r="G548" s="1"/>
      <c r="H548" s="1"/>
      <c r="I548" s="1"/>
      <c r="R548"/>
      <c r="S548"/>
      <c r="T548"/>
      <c r="U548"/>
      <c r="V548"/>
      <c r="W548"/>
      <c r="X548"/>
      <c r="Y548"/>
      <c r="Z548"/>
      <c r="AA548"/>
      <c r="AJ548"/>
      <c r="AL548"/>
      <c r="AM548"/>
      <c r="AN548"/>
      <c r="AO548"/>
      <c r="AP548"/>
      <c r="AQ548"/>
      <c r="AR548"/>
      <c r="AS548"/>
      <c r="AT548"/>
      <c r="AU548"/>
      <c r="AV548"/>
      <c r="AW548"/>
      <c r="AX548"/>
      <c r="AY548"/>
      <c r="AZ548"/>
      <c r="BA548"/>
      <c r="BB548"/>
      <c r="BC548"/>
      <c r="BD548"/>
      <c r="BE548"/>
      <c r="BF548"/>
      <c r="BG548"/>
      <c r="BH548"/>
      <c r="BI548"/>
      <c r="BJ548"/>
      <c r="BK548"/>
      <c r="BL548"/>
      <c r="BM548"/>
      <c r="BN548"/>
      <c r="BO548"/>
      <c r="BP548"/>
      <c r="BQ548"/>
      <c r="BR548"/>
      <c r="BS548"/>
      <c r="BT548"/>
      <c r="BU548"/>
      <c r="BV548"/>
      <c r="BW548"/>
      <c r="BX548"/>
      <c r="BY548"/>
      <c r="BZ548"/>
      <c r="CA548"/>
      <c r="CB548"/>
      <c r="CC548"/>
      <c r="CD548"/>
      <c r="CE548"/>
      <c r="CF548"/>
      <c r="CG548"/>
    </row>
    <row r="549" spans="4:85" ht="15">
      <c r="D549" s="1"/>
      <c r="E549" s="1"/>
      <c r="F549" s="1"/>
      <c r="G549" s="1"/>
      <c r="H549" s="1"/>
      <c r="I549" s="1"/>
      <c r="R549"/>
      <c r="S549"/>
      <c r="T549"/>
      <c r="U549"/>
      <c r="V549"/>
      <c r="W549"/>
      <c r="X549"/>
      <c r="Y549"/>
      <c r="Z549"/>
      <c r="AA549"/>
      <c r="AJ549"/>
      <c r="AL549"/>
      <c r="AM549"/>
      <c r="AN549"/>
      <c r="AO549"/>
      <c r="AP549"/>
      <c r="AQ549"/>
      <c r="AR549"/>
      <c r="AS549"/>
      <c r="AT549"/>
      <c r="AU549"/>
      <c r="AV549"/>
      <c r="AW549"/>
      <c r="AX549"/>
      <c r="AY549"/>
      <c r="AZ549"/>
      <c r="BA549"/>
      <c r="BB549"/>
      <c r="BC549"/>
      <c r="BD549"/>
      <c r="BE549"/>
      <c r="BF549"/>
      <c r="BG549"/>
      <c r="BH549"/>
      <c r="BI549"/>
      <c r="BJ549"/>
      <c r="BK549"/>
      <c r="BL549"/>
      <c r="BM549"/>
      <c r="BN549"/>
      <c r="BO549"/>
      <c r="BP549"/>
      <c r="BQ549"/>
      <c r="BR549"/>
      <c r="BS549"/>
      <c r="BT549"/>
      <c r="BU549"/>
      <c r="BV549"/>
      <c r="BW549"/>
      <c r="BX549"/>
      <c r="BY549"/>
      <c r="BZ549"/>
      <c r="CA549"/>
      <c r="CB549"/>
      <c r="CC549"/>
      <c r="CD549"/>
      <c r="CE549"/>
      <c r="CF549"/>
      <c r="CG549"/>
    </row>
    <row r="550" spans="4:85" ht="15">
      <c r="D550" s="1"/>
      <c r="E550" s="1"/>
      <c r="F550" s="1"/>
      <c r="G550" s="1"/>
      <c r="H550" s="1"/>
      <c r="I550" s="1"/>
      <c r="R550"/>
      <c r="S550"/>
      <c r="T550"/>
      <c r="U550"/>
      <c r="V550"/>
      <c r="W550"/>
      <c r="X550"/>
      <c r="Y550"/>
      <c r="Z550"/>
      <c r="AA550"/>
      <c r="AJ550"/>
      <c r="AL550"/>
      <c r="AM550"/>
      <c r="AN550"/>
      <c r="AO550"/>
      <c r="AP550"/>
      <c r="AQ550"/>
      <c r="AR550"/>
      <c r="AS550"/>
      <c r="AT550"/>
      <c r="AU550"/>
      <c r="AV550"/>
      <c r="AW550"/>
      <c r="AX550"/>
      <c r="AY550"/>
      <c r="AZ550"/>
      <c r="BA550"/>
      <c r="BB550"/>
      <c r="BC550"/>
      <c r="BD550"/>
      <c r="BE550"/>
      <c r="BF550"/>
      <c r="BG550"/>
      <c r="BH550"/>
      <c r="BI550"/>
      <c r="BJ550"/>
      <c r="BK550"/>
      <c r="BL550"/>
      <c r="BM550"/>
      <c r="BN550"/>
      <c r="BO550"/>
      <c r="BP550"/>
      <c r="BQ550"/>
      <c r="BR550"/>
      <c r="BS550"/>
      <c r="BT550"/>
      <c r="BU550"/>
      <c r="BV550"/>
      <c r="BW550"/>
      <c r="BX550"/>
      <c r="BY550"/>
      <c r="BZ550"/>
      <c r="CA550"/>
      <c r="CB550"/>
      <c r="CC550"/>
      <c r="CD550"/>
      <c r="CE550"/>
      <c r="CF550"/>
      <c r="CG550"/>
    </row>
    <row r="551" spans="4:85" ht="15">
      <c r="D551" s="1"/>
      <c r="E551" s="1"/>
      <c r="F551" s="1"/>
      <c r="G551" s="1"/>
      <c r="H551" s="1"/>
      <c r="I551" s="1"/>
      <c r="R551"/>
      <c r="S551"/>
      <c r="T551"/>
      <c r="U551"/>
      <c r="V551"/>
      <c r="W551"/>
      <c r="X551"/>
      <c r="Y551"/>
      <c r="Z551"/>
      <c r="AA551"/>
      <c r="AJ551"/>
      <c r="AL551"/>
      <c r="AM551"/>
      <c r="AN551"/>
      <c r="AO551"/>
      <c r="AP551"/>
      <c r="AQ551"/>
      <c r="AR551"/>
      <c r="AS551"/>
      <c r="AT551"/>
      <c r="AU551"/>
      <c r="AV551"/>
      <c r="AW551"/>
      <c r="AX551"/>
      <c r="AY551"/>
      <c r="AZ551"/>
      <c r="BA551"/>
      <c r="BB551"/>
      <c r="BC551"/>
      <c r="BD551"/>
      <c r="BE551"/>
      <c r="BF551"/>
      <c r="BG551"/>
      <c r="BH551"/>
      <c r="BI551"/>
      <c r="BJ551"/>
      <c r="BK551"/>
      <c r="BL551"/>
      <c r="BM551"/>
      <c r="BN551"/>
      <c r="BO551"/>
      <c r="BP551"/>
      <c r="BQ551"/>
      <c r="BR551"/>
      <c r="BS551"/>
      <c r="BT551"/>
      <c r="BU551"/>
      <c r="BV551"/>
      <c r="BW551"/>
      <c r="BX551"/>
      <c r="BY551"/>
      <c r="BZ551"/>
      <c r="CA551"/>
      <c r="CB551"/>
      <c r="CC551"/>
      <c r="CD551"/>
      <c r="CE551"/>
      <c r="CF551"/>
      <c r="CG551"/>
    </row>
    <row r="552" spans="4:85" ht="15">
      <c r="D552" s="1"/>
      <c r="E552" s="1"/>
      <c r="F552" s="1"/>
      <c r="G552" s="1"/>
      <c r="H552" s="1"/>
      <c r="I552" s="1"/>
      <c r="R552"/>
      <c r="S552"/>
      <c r="T552"/>
      <c r="U552"/>
      <c r="V552"/>
      <c r="W552"/>
      <c r="X552"/>
      <c r="Y552"/>
      <c r="Z552"/>
      <c r="AA552"/>
      <c r="AJ552"/>
      <c r="AL552"/>
      <c r="AM552"/>
      <c r="AN552"/>
      <c r="AO552"/>
      <c r="AP552"/>
      <c r="AQ552"/>
      <c r="AR552"/>
      <c r="AS552"/>
      <c r="AT552"/>
      <c r="AU552"/>
      <c r="AV552"/>
      <c r="AW552"/>
      <c r="AX552"/>
      <c r="AY552"/>
      <c r="AZ552"/>
      <c r="BA552"/>
      <c r="BB552"/>
      <c r="BC552"/>
      <c r="BD552"/>
      <c r="BE552"/>
      <c r="BF552"/>
      <c r="BG552"/>
      <c r="BH552"/>
      <c r="BI552"/>
      <c r="BJ552"/>
      <c r="BK552"/>
      <c r="BL552"/>
      <c r="BM552"/>
      <c r="BN552"/>
      <c r="BO552"/>
      <c r="BP552"/>
      <c r="BQ552"/>
      <c r="BR552"/>
      <c r="BS552"/>
      <c r="BT552"/>
      <c r="BU552"/>
      <c r="BV552"/>
      <c r="BW552"/>
      <c r="BX552"/>
      <c r="BY552"/>
      <c r="BZ552"/>
      <c r="CA552"/>
      <c r="CB552"/>
      <c r="CC552"/>
      <c r="CD552"/>
      <c r="CE552"/>
      <c r="CF552"/>
      <c r="CG552"/>
    </row>
    <row r="553" spans="4:85" ht="15">
      <c r="D553" s="1"/>
      <c r="E553" s="1"/>
      <c r="F553" s="1"/>
      <c r="G553" s="1"/>
      <c r="H553" s="1"/>
      <c r="I553" s="1"/>
      <c r="R553"/>
      <c r="S553"/>
      <c r="T553"/>
      <c r="U553"/>
      <c r="V553"/>
      <c r="W553"/>
      <c r="X553"/>
      <c r="Y553"/>
      <c r="Z553"/>
      <c r="AA553"/>
      <c r="AJ553"/>
      <c r="AL553"/>
      <c r="AM553"/>
      <c r="AN553"/>
      <c r="AO553"/>
      <c r="AP553"/>
      <c r="AQ553"/>
      <c r="AR553"/>
      <c r="AS553"/>
      <c r="AT553"/>
      <c r="AU553"/>
      <c r="AV553"/>
      <c r="AW553"/>
      <c r="AX553"/>
      <c r="AY553"/>
      <c r="AZ553"/>
      <c r="BA553"/>
      <c r="BB553"/>
      <c r="BC553"/>
      <c r="BD553"/>
      <c r="BE553"/>
      <c r="BF553"/>
      <c r="BG553"/>
      <c r="BH553"/>
      <c r="BI553"/>
      <c r="BJ553"/>
      <c r="BK553"/>
      <c r="BL553"/>
      <c r="BM553"/>
      <c r="BN553"/>
      <c r="BO553"/>
      <c r="BP553"/>
      <c r="BQ553"/>
      <c r="BR553"/>
      <c r="BS553"/>
      <c r="BT553"/>
      <c r="BU553"/>
      <c r="BV553"/>
      <c r="BW553"/>
      <c r="BX553"/>
      <c r="BY553"/>
      <c r="BZ553"/>
      <c r="CA553"/>
      <c r="CB553"/>
      <c r="CC553"/>
      <c r="CD553"/>
      <c r="CE553"/>
      <c r="CF553"/>
      <c r="CG553"/>
    </row>
    <row r="554" spans="4:85" ht="15">
      <c r="D554" s="1"/>
      <c r="E554" s="1"/>
      <c r="F554" s="1"/>
      <c r="G554" s="1"/>
      <c r="H554" s="1"/>
      <c r="I554" s="1"/>
      <c r="R554"/>
      <c r="S554"/>
      <c r="T554"/>
      <c r="U554"/>
      <c r="V554"/>
      <c r="W554"/>
      <c r="X554"/>
      <c r="Y554"/>
      <c r="Z554"/>
      <c r="AA554"/>
      <c r="AJ554"/>
      <c r="AL554"/>
      <c r="AM554"/>
      <c r="AN554"/>
      <c r="AO554"/>
      <c r="AP554"/>
      <c r="AQ554"/>
      <c r="AR554"/>
      <c r="AS554"/>
      <c r="AT554"/>
      <c r="AU554"/>
      <c r="AV554"/>
      <c r="AW554"/>
      <c r="AX554"/>
      <c r="AY554"/>
      <c r="AZ554"/>
      <c r="BA554"/>
      <c r="BB554"/>
      <c r="BC554"/>
      <c r="BD554"/>
      <c r="BE554"/>
      <c r="BF554"/>
      <c r="BG554"/>
      <c r="BH554"/>
      <c r="BI554"/>
      <c r="BJ554"/>
      <c r="BK554"/>
      <c r="BL554"/>
      <c r="BM554"/>
      <c r="BN554"/>
      <c r="BO554"/>
      <c r="BP554"/>
      <c r="BQ554"/>
      <c r="BR554"/>
      <c r="BS554"/>
      <c r="BT554"/>
      <c r="BU554"/>
      <c r="BV554"/>
      <c r="BW554"/>
      <c r="BX554"/>
      <c r="BY554"/>
      <c r="BZ554"/>
      <c r="CA554"/>
      <c r="CB554"/>
      <c r="CC554"/>
      <c r="CD554"/>
      <c r="CE554"/>
      <c r="CF554"/>
      <c r="CG554"/>
    </row>
    <row r="555" spans="4:85" ht="15">
      <c r="D555" s="1"/>
      <c r="E555" s="1"/>
      <c r="F555" s="1"/>
      <c r="G555" s="1"/>
      <c r="H555" s="1"/>
      <c r="I555" s="1"/>
      <c r="R555"/>
      <c r="S555"/>
      <c r="T555"/>
      <c r="U555"/>
      <c r="V555"/>
      <c r="W555"/>
      <c r="X555"/>
      <c r="Y555"/>
      <c r="Z555"/>
      <c r="AA555"/>
      <c r="AJ555"/>
      <c r="AL555"/>
      <c r="AM555"/>
      <c r="AN555"/>
      <c r="AO555"/>
      <c r="AP555"/>
      <c r="AQ555"/>
      <c r="AR555"/>
      <c r="AS555"/>
      <c r="AT555"/>
      <c r="AU555"/>
      <c r="AV555"/>
      <c r="AW555"/>
      <c r="AX555"/>
      <c r="AY555"/>
      <c r="AZ555"/>
      <c r="BA555"/>
      <c r="BB555"/>
      <c r="BC555"/>
      <c r="BD555"/>
      <c r="BE555"/>
      <c r="BF555"/>
      <c r="BG555"/>
      <c r="BH555"/>
      <c r="BI555"/>
      <c r="BJ555"/>
      <c r="BK555"/>
      <c r="BL555"/>
      <c r="BM555"/>
      <c r="BN555"/>
      <c r="BO555"/>
      <c r="BP555"/>
      <c r="BQ555"/>
      <c r="BR555"/>
      <c r="BS555"/>
      <c r="BT555"/>
      <c r="BU555"/>
      <c r="BV555"/>
      <c r="BW555"/>
      <c r="BX555"/>
      <c r="BY555"/>
      <c r="BZ555"/>
      <c r="CA555"/>
      <c r="CB555"/>
      <c r="CC555"/>
      <c r="CD555"/>
      <c r="CE555"/>
      <c r="CF555"/>
      <c r="CG555"/>
    </row>
    <row r="556" spans="4:85" ht="15">
      <c r="D556" s="1"/>
      <c r="E556" s="1"/>
      <c r="F556" s="1"/>
      <c r="G556" s="1"/>
      <c r="H556" s="1"/>
      <c r="I556" s="1"/>
      <c r="R556"/>
      <c r="S556"/>
      <c r="T556"/>
      <c r="U556"/>
      <c r="V556"/>
      <c r="W556"/>
      <c r="X556"/>
      <c r="Y556"/>
      <c r="Z556"/>
      <c r="AA556"/>
      <c r="AJ556"/>
      <c r="AL556"/>
      <c r="AM556"/>
      <c r="AN556"/>
      <c r="AO556"/>
      <c r="AP556"/>
      <c r="AQ556"/>
      <c r="AR556"/>
      <c r="AS556"/>
      <c r="AT556"/>
      <c r="AU556"/>
      <c r="AV556"/>
      <c r="AW556"/>
      <c r="AX556"/>
      <c r="AY556"/>
      <c r="AZ556"/>
      <c r="BA556"/>
      <c r="BB556"/>
      <c r="BC556"/>
      <c r="BD556"/>
      <c r="BE556"/>
      <c r="BF556"/>
      <c r="BG556"/>
      <c r="BH556"/>
      <c r="BI556"/>
      <c r="BJ556"/>
      <c r="BK556"/>
      <c r="BL556"/>
      <c r="BM556"/>
      <c r="BN556"/>
      <c r="BO556"/>
      <c r="BP556"/>
      <c r="BQ556"/>
      <c r="BR556"/>
      <c r="BS556"/>
      <c r="BT556"/>
      <c r="BU556"/>
      <c r="BV556"/>
      <c r="BW556"/>
      <c r="BX556"/>
      <c r="BY556"/>
      <c r="BZ556"/>
      <c r="CA556"/>
      <c r="CB556"/>
      <c r="CC556"/>
      <c r="CD556"/>
      <c r="CE556"/>
      <c r="CF556"/>
      <c r="CG556"/>
    </row>
    <row r="557" spans="4:85" ht="15">
      <c r="D557" s="1"/>
      <c r="E557" s="1"/>
      <c r="F557" s="1"/>
      <c r="G557" s="1"/>
      <c r="H557" s="1"/>
      <c r="I557" s="1"/>
      <c r="R557"/>
      <c r="S557"/>
      <c r="T557"/>
      <c r="U557"/>
      <c r="V557"/>
      <c r="W557"/>
      <c r="X557"/>
      <c r="Y557"/>
      <c r="Z557"/>
      <c r="AA557"/>
      <c r="AJ557"/>
      <c r="AL557"/>
      <c r="AM557"/>
      <c r="AN557"/>
      <c r="AO557"/>
      <c r="AP557"/>
      <c r="AQ557"/>
      <c r="AR557"/>
      <c r="AS557"/>
      <c r="AT557"/>
      <c r="AU557"/>
      <c r="AV557"/>
      <c r="AW557"/>
      <c r="AX557"/>
      <c r="AY557"/>
      <c r="AZ557"/>
      <c r="BA557"/>
      <c r="BB557"/>
      <c r="BC557"/>
      <c r="BD557"/>
      <c r="BE557"/>
      <c r="BF557"/>
      <c r="BG557"/>
      <c r="BH557"/>
      <c r="BI557"/>
      <c r="BJ557"/>
      <c r="BK557"/>
      <c r="BL557"/>
      <c r="BM557"/>
      <c r="BN557"/>
      <c r="BO557"/>
      <c r="BP557"/>
      <c r="BQ557"/>
      <c r="BR557"/>
      <c r="BS557"/>
      <c r="BT557"/>
      <c r="BU557"/>
      <c r="BV557"/>
      <c r="BW557"/>
      <c r="BX557"/>
      <c r="BY557"/>
      <c r="BZ557"/>
      <c r="CA557"/>
      <c r="CB557"/>
      <c r="CC557"/>
      <c r="CD557"/>
      <c r="CE557"/>
      <c r="CF557"/>
      <c r="CG557"/>
    </row>
    <row r="558" spans="4:85" ht="15">
      <c r="D558" s="1"/>
      <c r="E558" s="1"/>
      <c r="F558" s="1"/>
      <c r="G558" s="1"/>
      <c r="H558" s="1"/>
      <c r="I558" s="1"/>
      <c r="R558"/>
      <c r="S558"/>
      <c r="T558"/>
      <c r="U558"/>
      <c r="V558"/>
      <c r="W558"/>
      <c r="X558"/>
      <c r="Y558"/>
      <c r="Z558"/>
      <c r="AA558"/>
      <c r="AJ558"/>
      <c r="AL558"/>
      <c r="AM558"/>
      <c r="AN558"/>
      <c r="AO558"/>
      <c r="AP558"/>
      <c r="AQ558"/>
      <c r="AR558"/>
      <c r="AS558"/>
      <c r="AT558"/>
      <c r="AU558"/>
      <c r="AV558"/>
      <c r="AW558"/>
      <c r="AX558"/>
      <c r="AY558"/>
      <c r="AZ558"/>
      <c r="BA558"/>
      <c r="BB558"/>
      <c r="BC558"/>
      <c r="BD558"/>
      <c r="BE558"/>
      <c r="BF558"/>
      <c r="BG558"/>
      <c r="BH558"/>
      <c r="BI558"/>
      <c r="BJ558"/>
      <c r="BK558"/>
      <c r="BL558"/>
      <c r="BM558"/>
      <c r="BN558"/>
      <c r="BO558"/>
      <c r="BP558"/>
      <c r="BQ558"/>
      <c r="BR558"/>
      <c r="BS558"/>
      <c r="BT558"/>
      <c r="BU558"/>
      <c r="BV558"/>
      <c r="BW558"/>
      <c r="BX558"/>
      <c r="BY558"/>
      <c r="BZ558"/>
      <c r="CA558"/>
      <c r="CB558"/>
      <c r="CC558"/>
      <c r="CD558"/>
      <c r="CE558"/>
      <c r="CF558"/>
      <c r="CG558"/>
    </row>
    <row r="559" spans="4:85" ht="15">
      <c r="D559" s="1"/>
      <c r="E559" s="1"/>
      <c r="F559" s="1"/>
      <c r="G559" s="1"/>
      <c r="H559" s="1"/>
      <c r="I559" s="1"/>
      <c r="R559"/>
      <c r="S559"/>
      <c r="T559"/>
      <c r="U559"/>
      <c r="V559"/>
      <c r="W559"/>
      <c r="X559"/>
      <c r="Y559"/>
      <c r="Z559"/>
      <c r="AA559"/>
      <c r="AJ559"/>
      <c r="AL559"/>
      <c r="AM559"/>
      <c r="AN559"/>
      <c r="AO559"/>
      <c r="AP559"/>
      <c r="AQ559"/>
      <c r="AR559"/>
      <c r="AS559"/>
      <c r="AT559"/>
      <c r="AU559"/>
      <c r="AV559"/>
      <c r="AW559"/>
      <c r="AX559"/>
      <c r="AY559"/>
      <c r="AZ559"/>
      <c r="BA559"/>
      <c r="BB559"/>
      <c r="BC559"/>
      <c r="BD559"/>
      <c r="BE559"/>
      <c r="BF559"/>
      <c r="BG559"/>
      <c r="BH559"/>
      <c r="BI559"/>
      <c r="BJ559"/>
      <c r="BK559"/>
      <c r="BL559"/>
      <c r="BM559"/>
      <c r="BN559"/>
      <c r="BO559"/>
      <c r="BP559"/>
      <c r="BQ559"/>
      <c r="BR559"/>
      <c r="BS559"/>
      <c r="BT559"/>
      <c r="BU559"/>
      <c r="BV559"/>
      <c r="BW559"/>
      <c r="BX559"/>
      <c r="BY559"/>
      <c r="BZ559"/>
      <c r="CA559"/>
      <c r="CB559"/>
      <c r="CC559"/>
      <c r="CD559"/>
      <c r="CE559"/>
      <c r="CF559"/>
      <c r="CG559"/>
    </row>
    <row r="560" spans="4:85" ht="15">
      <c r="D560" s="1"/>
      <c r="E560" s="1"/>
      <c r="F560" s="1"/>
      <c r="G560" s="1"/>
      <c r="H560" s="1"/>
      <c r="I560" s="1"/>
      <c r="R560"/>
      <c r="S560"/>
      <c r="T560"/>
      <c r="U560"/>
      <c r="V560"/>
      <c r="W560"/>
      <c r="X560"/>
      <c r="Y560"/>
      <c r="Z560"/>
      <c r="AA560"/>
      <c r="AJ560"/>
      <c r="AL560"/>
      <c r="AM560"/>
      <c r="AN560"/>
      <c r="AO560"/>
      <c r="AP560"/>
      <c r="AQ560"/>
      <c r="AR560"/>
      <c r="AS560"/>
      <c r="AT560"/>
      <c r="AU560"/>
      <c r="AV560"/>
      <c r="AW560"/>
      <c r="AX560"/>
      <c r="AY560"/>
      <c r="AZ560"/>
      <c r="BA560"/>
      <c r="BB560"/>
      <c r="BC560"/>
      <c r="BD560"/>
      <c r="BE560"/>
      <c r="BF560"/>
      <c r="BG560"/>
      <c r="BH560"/>
      <c r="BI560"/>
      <c r="BJ560"/>
      <c r="BK560"/>
      <c r="BL560"/>
      <c r="BM560"/>
      <c r="BN560"/>
      <c r="BO560"/>
      <c r="BP560"/>
      <c r="BQ560"/>
      <c r="BR560"/>
      <c r="BS560"/>
      <c r="BT560"/>
      <c r="BU560"/>
      <c r="BV560"/>
      <c r="BW560"/>
      <c r="BX560"/>
      <c r="BY560"/>
      <c r="BZ560"/>
      <c r="CA560"/>
      <c r="CB560"/>
      <c r="CC560"/>
      <c r="CD560"/>
      <c r="CE560"/>
      <c r="CF560"/>
      <c r="CG560"/>
    </row>
    <row r="561" spans="4:85" ht="15">
      <c r="D561" s="1"/>
      <c r="E561" s="1"/>
      <c r="F561" s="1"/>
      <c r="G561" s="1"/>
      <c r="H561" s="1"/>
      <c r="I561" s="1"/>
      <c r="R561"/>
      <c r="S561"/>
      <c r="T561"/>
      <c r="U561"/>
      <c r="V561"/>
      <c r="W561"/>
      <c r="X561"/>
      <c r="Y561"/>
      <c r="Z561"/>
      <c r="AA561"/>
      <c r="AJ561"/>
      <c r="AL561"/>
      <c r="AM561"/>
      <c r="AN561"/>
      <c r="AO561"/>
      <c r="AP561"/>
      <c r="AQ561"/>
      <c r="AR561"/>
      <c r="AS561"/>
      <c r="AT561"/>
      <c r="AU561"/>
      <c r="AV561"/>
      <c r="AW561"/>
      <c r="AX561"/>
      <c r="AY561"/>
      <c r="AZ561"/>
      <c r="BA561"/>
      <c r="BB561"/>
      <c r="BC561"/>
      <c r="BD561"/>
      <c r="BE561"/>
      <c r="BF561"/>
      <c r="BG561"/>
      <c r="BH561"/>
      <c r="BI561"/>
      <c r="BJ561"/>
      <c r="BK561"/>
      <c r="BL561"/>
      <c r="BM561"/>
      <c r="BN561"/>
      <c r="BO561"/>
      <c r="BP561"/>
      <c r="BQ561"/>
      <c r="BR561"/>
      <c r="BS561"/>
      <c r="BT561"/>
      <c r="BU561"/>
      <c r="BV561"/>
      <c r="BW561"/>
      <c r="BX561"/>
      <c r="BY561"/>
      <c r="BZ561"/>
      <c r="CA561"/>
      <c r="CB561"/>
      <c r="CC561"/>
      <c r="CD561"/>
      <c r="CE561"/>
      <c r="CF561"/>
      <c r="CG561"/>
    </row>
    <row r="562" spans="4:85" ht="15">
      <c r="D562" s="1"/>
      <c r="E562" s="1"/>
      <c r="F562" s="1"/>
      <c r="G562" s="1"/>
      <c r="H562" s="1"/>
      <c r="I562" s="1"/>
      <c r="R562"/>
      <c r="S562"/>
      <c r="T562"/>
      <c r="U562"/>
      <c r="V562"/>
      <c r="W562"/>
      <c r="X562"/>
      <c r="Y562"/>
      <c r="Z562"/>
      <c r="AA562"/>
      <c r="AJ562"/>
      <c r="AL562"/>
      <c r="AM562"/>
      <c r="AN562"/>
      <c r="AO562"/>
      <c r="AP562"/>
      <c r="AQ562"/>
      <c r="AR562"/>
      <c r="AS562"/>
      <c r="AT562"/>
      <c r="AU562"/>
      <c r="AV562"/>
      <c r="AW562"/>
      <c r="AX562"/>
      <c r="AY562"/>
      <c r="AZ562"/>
      <c r="BA562"/>
      <c r="BB562"/>
      <c r="BC562"/>
      <c r="BD562"/>
      <c r="BE562"/>
      <c r="BF562"/>
      <c r="BG562"/>
      <c r="BH562"/>
      <c r="BI562"/>
      <c r="BJ562"/>
      <c r="BK562"/>
      <c r="BL562"/>
      <c r="BM562"/>
      <c r="BN562"/>
      <c r="BO562"/>
      <c r="BP562"/>
      <c r="BQ562"/>
      <c r="BR562"/>
      <c r="BS562"/>
      <c r="BT562"/>
      <c r="BU562"/>
      <c r="BV562"/>
      <c r="BW562"/>
      <c r="BX562"/>
      <c r="BY562"/>
      <c r="BZ562"/>
      <c r="CA562"/>
      <c r="CB562"/>
      <c r="CC562"/>
      <c r="CD562"/>
      <c r="CE562"/>
      <c r="CF562"/>
      <c r="CG562"/>
    </row>
    <row r="563" spans="4:85" ht="15">
      <c r="D563" s="1"/>
      <c r="E563" s="1"/>
      <c r="F563" s="1"/>
      <c r="G563" s="1"/>
      <c r="H563" s="1"/>
      <c r="I563" s="1"/>
      <c r="R563"/>
      <c r="S563"/>
      <c r="T563"/>
      <c r="U563"/>
      <c r="V563"/>
      <c r="W563"/>
      <c r="X563"/>
      <c r="Y563"/>
      <c r="Z563"/>
      <c r="AA563"/>
      <c r="AJ563"/>
      <c r="AL563"/>
      <c r="AM563"/>
      <c r="AN563"/>
      <c r="AO563"/>
      <c r="AP563"/>
      <c r="AQ563"/>
      <c r="AR563"/>
      <c r="AS563"/>
      <c r="AT563"/>
      <c r="AU563"/>
      <c r="AV563"/>
      <c r="AW563"/>
      <c r="AX563"/>
      <c r="AY563"/>
      <c r="AZ563"/>
      <c r="BA563"/>
      <c r="BB563"/>
      <c r="BC563"/>
      <c r="BD563"/>
      <c r="BE563"/>
      <c r="BF563"/>
      <c r="BG563"/>
      <c r="BH563"/>
      <c r="BI563"/>
      <c r="BJ563"/>
      <c r="BK563"/>
      <c r="BL563"/>
      <c r="BM563"/>
      <c r="BN563"/>
      <c r="BO563"/>
      <c r="BP563"/>
      <c r="BQ563"/>
      <c r="BR563"/>
      <c r="BS563"/>
      <c r="BT563"/>
      <c r="BU563"/>
      <c r="BV563"/>
      <c r="BW563"/>
      <c r="BX563"/>
      <c r="BY563"/>
      <c r="BZ563"/>
      <c r="CA563"/>
      <c r="CB563"/>
      <c r="CC563"/>
      <c r="CD563"/>
      <c r="CE563"/>
      <c r="CF563"/>
      <c r="CG563"/>
    </row>
    <row r="564" spans="4:85" ht="15">
      <c r="D564" s="1"/>
      <c r="E564" s="1"/>
      <c r="F564" s="1"/>
      <c r="G564" s="1"/>
      <c r="H564" s="1"/>
      <c r="I564" s="1"/>
      <c r="R564"/>
      <c r="S564"/>
      <c r="T564"/>
      <c r="U564"/>
      <c r="V564"/>
      <c r="W564"/>
      <c r="X564"/>
      <c r="Y564"/>
      <c r="Z564"/>
      <c r="AA564"/>
      <c r="AJ564"/>
      <c r="AL564"/>
      <c r="AM564"/>
      <c r="AN564"/>
      <c r="AO564"/>
      <c r="AP564"/>
      <c r="AQ564"/>
      <c r="AR564"/>
      <c r="AS564"/>
      <c r="AT564"/>
      <c r="AU564"/>
      <c r="AV564"/>
      <c r="AW564"/>
      <c r="AX564"/>
      <c r="AY564"/>
      <c r="AZ564"/>
      <c r="BA564"/>
      <c r="BB564"/>
      <c r="BC564"/>
      <c r="BD564"/>
      <c r="BE564"/>
      <c r="BF564"/>
      <c r="BG564"/>
      <c r="BH564"/>
      <c r="BI564"/>
      <c r="BJ564"/>
      <c r="BK564"/>
      <c r="BL564"/>
      <c r="BM564"/>
      <c r="BN564"/>
      <c r="BO564"/>
      <c r="BP564"/>
      <c r="BQ564"/>
      <c r="BR564"/>
      <c r="BS564"/>
      <c r="BT564"/>
      <c r="BU564"/>
      <c r="BV564"/>
      <c r="BW564"/>
      <c r="BX564"/>
      <c r="BY564"/>
      <c r="BZ564"/>
      <c r="CA564"/>
      <c r="CB564"/>
      <c r="CC564"/>
      <c r="CD564"/>
      <c r="CE564"/>
      <c r="CF564"/>
      <c r="CG564"/>
    </row>
    <row r="565" spans="4:85" ht="15">
      <c r="D565" s="1"/>
      <c r="E565" s="1"/>
      <c r="F565" s="1"/>
      <c r="G565" s="1"/>
      <c r="H565" s="1"/>
      <c r="I565" s="1"/>
      <c r="R565"/>
      <c r="S565"/>
      <c r="T565"/>
      <c r="U565"/>
      <c r="V565"/>
      <c r="W565"/>
      <c r="X565"/>
      <c r="Y565"/>
      <c r="Z565"/>
      <c r="AA565"/>
      <c r="AJ565"/>
      <c r="AL565"/>
      <c r="AM565"/>
      <c r="AN565"/>
      <c r="AO565"/>
      <c r="AP565"/>
      <c r="AQ565"/>
      <c r="AR565"/>
      <c r="AS565"/>
      <c r="AT565"/>
      <c r="AU565"/>
      <c r="AV565"/>
      <c r="AW565"/>
      <c r="AX565"/>
      <c r="AY565"/>
      <c r="AZ565"/>
      <c r="BA565"/>
      <c r="BB565"/>
      <c r="BC565"/>
      <c r="BD565"/>
      <c r="BE565"/>
      <c r="BF565"/>
      <c r="BG565"/>
      <c r="BH565"/>
      <c r="BI565"/>
      <c r="BJ565"/>
      <c r="BK565"/>
      <c r="BL565"/>
      <c r="BM565"/>
      <c r="BN565"/>
      <c r="BO565"/>
      <c r="BP565"/>
      <c r="BQ565"/>
      <c r="BR565"/>
      <c r="BS565"/>
      <c r="BT565"/>
      <c r="BU565"/>
      <c r="BV565"/>
      <c r="BW565"/>
      <c r="BX565"/>
      <c r="BY565"/>
      <c r="BZ565"/>
      <c r="CA565"/>
      <c r="CB565"/>
      <c r="CC565"/>
      <c r="CD565"/>
      <c r="CE565"/>
      <c r="CF565"/>
      <c r="CG565"/>
    </row>
    <row r="566" spans="4:85" ht="15">
      <c r="D566" s="1"/>
      <c r="E566" s="1"/>
      <c r="F566" s="1"/>
      <c r="G566" s="1"/>
      <c r="H566" s="1"/>
      <c r="I566" s="1"/>
      <c r="R566"/>
      <c r="S566"/>
      <c r="T566"/>
      <c r="U566"/>
      <c r="V566"/>
      <c r="W566"/>
      <c r="X566"/>
      <c r="Y566"/>
      <c r="Z566"/>
      <c r="AA566"/>
      <c r="AJ566"/>
      <c r="AL566"/>
      <c r="AM566"/>
      <c r="AN566"/>
      <c r="AO566"/>
      <c r="AP566"/>
      <c r="AQ566"/>
      <c r="AR566"/>
      <c r="AS566"/>
      <c r="AT566"/>
      <c r="AU566"/>
      <c r="AV566"/>
      <c r="AW566"/>
      <c r="AX566"/>
      <c r="AY566"/>
      <c r="AZ566"/>
      <c r="BA566"/>
      <c r="BB566"/>
      <c r="BC566"/>
      <c r="BD566"/>
      <c r="BE566"/>
      <c r="BF566"/>
      <c r="BG566"/>
      <c r="BH566"/>
      <c r="BI566"/>
      <c r="BJ566"/>
      <c r="BK566"/>
      <c r="BL566"/>
      <c r="BM566"/>
      <c r="BN566"/>
      <c r="BO566"/>
      <c r="BP566"/>
      <c r="BQ566"/>
      <c r="BR566"/>
      <c r="BS566"/>
      <c r="BT566"/>
      <c r="BU566"/>
      <c r="BV566"/>
      <c r="BW566"/>
      <c r="BX566"/>
      <c r="BY566"/>
      <c r="BZ566"/>
      <c r="CA566"/>
      <c r="CB566"/>
      <c r="CC566"/>
      <c r="CD566"/>
      <c r="CE566"/>
      <c r="CF566"/>
      <c r="CG566"/>
    </row>
    <row r="567" spans="4:85" ht="15">
      <c r="D567" s="1"/>
      <c r="E567" s="1"/>
      <c r="F567" s="1"/>
      <c r="G567" s="1"/>
      <c r="H567" s="1"/>
      <c r="I567" s="1"/>
      <c r="R567"/>
      <c r="S567"/>
      <c r="T567"/>
      <c r="U567"/>
      <c r="V567"/>
      <c r="W567"/>
      <c r="X567"/>
      <c r="Y567"/>
      <c r="Z567"/>
      <c r="AA567"/>
      <c r="AJ567"/>
      <c r="AL567"/>
      <c r="AM567"/>
      <c r="AN567"/>
      <c r="AO567"/>
      <c r="AP567"/>
      <c r="AQ567"/>
      <c r="AR567"/>
      <c r="AS567"/>
      <c r="AT567"/>
      <c r="AU567"/>
      <c r="AV567"/>
      <c r="AW567"/>
      <c r="AX567"/>
      <c r="AY567"/>
      <c r="AZ567"/>
      <c r="BA567"/>
      <c r="BB567"/>
      <c r="BC567"/>
      <c r="BD567"/>
      <c r="BE567"/>
      <c r="BF567"/>
      <c r="BG567"/>
      <c r="BH567"/>
      <c r="BI567"/>
      <c r="BJ567"/>
      <c r="BK567"/>
      <c r="BL567"/>
      <c r="BM567"/>
      <c r="BN567"/>
      <c r="BO567"/>
      <c r="BP567"/>
      <c r="BQ567"/>
      <c r="BR567"/>
      <c r="BS567"/>
      <c r="BT567"/>
      <c r="BU567"/>
      <c r="BV567"/>
      <c r="BW567"/>
      <c r="BX567"/>
      <c r="BY567"/>
      <c r="BZ567"/>
      <c r="CA567"/>
      <c r="CB567"/>
      <c r="CC567"/>
      <c r="CD567"/>
      <c r="CE567"/>
      <c r="CF567"/>
      <c r="CG567"/>
    </row>
    <row r="568" spans="4:85" ht="15">
      <c r="D568" s="1"/>
      <c r="E568" s="1"/>
      <c r="F568" s="1"/>
      <c r="G568" s="1"/>
      <c r="H568" s="1"/>
      <c r="I568" s="1"/>
      <c r="R568"/>
      <c r="S568"/>
      <c r="T568"/>
      <c r="U568"/>
      <c r="V568"/>
      <c r="W568"/>
      <c r="X568"/>
      <c r="Y568"/>
      <c r="Z568"/>
      <c r="AA568"/>
      <c r="AJ568"/>
      <c r="AL568"/>
      <c r="AM568"/>
      <c r="AN568"/>
      <c r="AO568"/>
      <c r="AP568"/>
      <c r="AQ568"/>
      <c r="AR568"/>
      <c r="AS568"/>
      <c r="AT568"/>
      <c r="AU568"/>
      <c r="AV568"/>
      <c r="AW568"/>
      <c r="AX568"/>
      <c r="AY568"/>
      <c r="AZ568"/>
      <c r="BA568"/>
      <c r="BB568"/>
      <c r="BC568"/>
      <c r="BD568"/>
      <c r="BE568"/>
      <c r="BF568"/>
      <c r="BG568"/>
      <c r="BH568"/>
      <c r="BI568"/>
      <c r="BJ568"/>
      <c r="BK568"/>
      <c r="BL568"/>
      <c r="BM568"/>
      <c r="BN568"/>
      <c r="BO568"/>
      <c r="BP568"/>
      <c r="BQ568"/>
      <c r="BR568"/>
      <c r="BS568"/>
      <c r="BT568"/>
      <c r="BU568"/>
      <c r="BV568"/>
      <c r="BW568"/>
      <c r="BX568"/>
      <c r="BY568"/>
      <c r="BZ568"/>
      <c r="CA568"/>
      <c r="CB568"/>
      <c r="CC568"/>
      <c r="CD568"/>
      <c r="CE568"/>
      <c r="CF568"/>
      <c r="CG568"/>
    </row>
    <row r="569" spans="4:85" ht="15">
      <c r="D569" s="1"/>
      <c r="E569" s="1"/>
      <c r="F569" s="1"/>
      <c r="G569" s="1"/>
      <c r="H569" s="1"/>
      <c r="I569" s="1"/>
      <c r="R569"/>
      <c r="S569"/>
      <c r="T569"/>
      <c r="U569"/>
      <c r="V569"/>
      <c r="W569"/>
      <c r="X569"/>
      <c r="Y569"/>
      <c r="Z569"/>
      <c r="AA569"/>
      <c r="AJ569"/>
      <c r="AL569"/>
      <c r="AM569"/>
      <c r="AN569"/>
      <c r="AO569"/>
      <c r="AP569"/>
      <c r="AQ569"/>
      <c r="AR569"/>
      <c r="AS569"/>
      <c r="AT569"/>
      <c r="AU569"/>
      <c r="AV569"/>
      <c r="AW569"/>
      <c r="AX569"/>
      <c r="AY569"/>
      <c r="AZ569"/>
      <c r="BA569"/>
      <c r="BB569"/>
      <c r="BC569"/>
      <c r="BD569"/>
      <c r="BE569"/>
      <c r="BF569"/>
      <c r="BG569"/>
      <c r="BH569"/>
      <c r="BI569"/>
      <c r="BJ569"/>
      <c r="BK569"/>
      <c r="BL569"/>
      <c r="BM569"/>
      <c r="BN569"/>
      <c r="BO569"/>
      <c r="BP569"/>
      <c r="BQ569"/>
      <c r="BR569"/>
      <c r="BS569"/>
      <c r="BT569"/>
      <c r="BU569"/>
      <c r="BV569"/>
      <c r="BW569"/>
      <c r="BX569"/>
      <c r="BY569"/>
      <c r="BZ569"/>
      <c r="CA569"/>
      <c r="CB569"/>
      <c r="CC569"/>
      <c r="CD569"/>
      <c r="CE569"/>
      <c r="CF569"/>
      <c r="CG569"/>
    </row>
    <row r="570" spans="4:85" ht="15">
      <c r="D570" s="1"/>
      <c r="E570" s="1"/>
      <c r="F570" s="1"/>
      <c r="G570" s="1"/>
      <c r="H570" s="1"/>
      <c r="I570" s="1"/>
      <c r="R570"/>
      <c r="S570"/>
      <c r="T570"/>
      <c r="U570"/>
      <c r="V570"/>
      <c r="W570"/>
      <c r="X570"/>
      <c r="Y570"/>
      <c r="Z570"/>
      <c r="AA570"/>
      <c r="AJ570"/>
      <c r="AL570"/>
      <c r="AM570"/>
      <c r="AN570"/>
      <c r="AO570"/>
      <c r="AP570"/>
      <c r="AQ570"/>
      <c r="AR570"/>
      <c r="AS570"/>
      <c r="AT570"/>
      <c r="AU570"/>
      <c r="AV570"/>
      <c r="AW570"/>
      <c r="AX570"/>
      <c r="AY570"/>
      <c r="AZ570"/>
      <c r="BA570"/>
      <c r="BB570"/>
      <c r="BC570"/>
      <c r="BD570"/>
      <c r="BE570"/>
      <c r="BF570"/>
      <c r="BG570"/>
      <c r="BH570"/>
      <c r="BI570"/>
      <c r="BJ570"/>
      <c r="BK570"/>
      <c r="BL570"/>
      <c r="BM570"/>
      <c r="BN570"/>
      <c r="BO570"/>
      <c r="BP570"/>
      <c r="BQ570"/>
      <c r="BR570"/>
      <c r="BS570"/>
      <c r="BT570"/>
      <c r="BU570"/>
      <c r="BV570"/>
      <c r="BW570"/>
      <c r="BX570"/>
      <c r="BY570"/>
      <c r="BZ570"/>
      <c r="CA570"/>
      <c r="CB570"/>
      <c r="CC570"/>
      <c r="CD570"/>
      <c r="CE570"/>
      <c r="CF570"/>
      <c r="CG570"/>
    </row>
    <row r="571" spans="4:85" ht="15">
      <c r="D571" s="1"/>
      <c r="E571" s="1"/>
      <c r="F571" s="1"/>
      <c r="G571" s="1"/>
      <c r="H571" s="1"/>
      <c r="I571" s="1"/>
      <c r="R571"/>
      <c r="S571"/>
      <c r="T571"/>
      <c r="U571"/>
      <c r="V571"/>
      <c r="W571"/>
      <c r="X571"/>
      <c r="Y571"/>
      <c r="Z571"/>
      <c r="AA571"/>
      <c r="AJ571"/>
      <c r="AL571"/>
      <c r="AM571"/>
      <c r="AN571"/>
      <c r="AO571"/>
      <c r="AP571"/>
      <c r="AQ571"/>
      <c r="AR571"/>
      <c r="AS571"/>
      <c r="AT571"/>
      <c r="AU571"/>
      <c r="AV571"/>
      <c r="AW571"/>
      <c r="AX571"/>
      <c r="AY571"/>
      <c r="AZ571"/>
      <c r="BA571"/>
      <c r="BB571"/>
      <c r="BC571"/>
      <c r="BD571"/>
      <c r="BE571"/>
      <c r="BF571"/>
      <c r="BG571"/>
      <c r="BH571"/>
      <c r="BI571"/>
      <c r="BJ571"/>
      <c r="BK571"/>
      <c r="BL571"/>
      <c r="BM571"/>
      <c r="BN571"/>
      <c r="BO571"/>
      <c r="BP571"/>
      <c r="BQ571"/>
      <c r="BR571"/>
      <c r="BS571"/>
      <c r="BT571"/>
      <c r="BU571"/>
      <c r="BV571"/>
      <c r="BW571"/>
      <c r="BX571"/>
      <c r="BY571"/>
      <c r="BZ571"/>
      <c r="CA571"/>
      <c r="CB571"/>
      <c r="CC571"/>
      <c r="CD571"/>
      <c r="CE571"/>
      <c r="CF571"/>
      <c r="CG571"/>
    </row>
    <row r="572" spans="4:85" ht="15">
      <c r="D572" s="1"/>
      <c r="E572" s="1"/>
      <c r="F572" s="1"/>
      <c r="G572" s="1"/>
      <c r="H572" s="1"/>
      <c r="I572" s="1"/>
      <c r="R572"/>
      <c r="S572"/>
      <c r="T572"/>
      <c r="U572"/>
      <c r="V572"/>
      <c r="W572"/>
      <c r="X572"/>
      <c r="Y572"/>
      <c r="Z572"/>
      <c r="AA572"/>
      <c r="AJ572"/>
      <c r="AL572"/>
      <c r="AM572"/>
      <c r="AN572"/>
      <c r="AO572"/>
      <c r="AP572"/>
      <c r="AQ572"/>
      <c r="AR572"/>
      <c r="AS572"/>
      <c r="AT572"/>
      <c r="AU572"/>
      <c r="AV572"/>
      <c r="AW572"/>
      <c r="AX572"/>
      <c r="AY572"/>
      <c r="AZ572"/>
      <c r="BA572"/>
      <c r="BB572"/>
      <c r="BC572"/>
      <c r="BD572"/>
      <c r="BE572"/>
      <c r="BF572"/>
      <c r="BG572"/>
      <c r="BH572"/>
      <c r="BI572"/>
      <c r="BJ572"/>
      <c r="BK572"/>
      <c r="BL572"/>
      <c r="BM572"/>
      <c r="BN572"/>
      <c r="BO572"/>
      <c r="BP572"/>
      <c r="BQ572"/>
      <c r="BR572"/>
      <c r="BS572"/>
      <c r="BT572"/>
      <c r="BU572"/>
      <c r="BV572"/>
      <c r="BW572"/>
      <c r="BX572"/>
      <c r="BY572"/>
      <c r="BZ572"/>
      <c r="CA572"/>
      <c r="CB572"/>
      <c r="CC572"/>
      <c r="CD572"/>
      <c r="CE572"/>
      <c r="CF572"/>
      <c r="CG572"/>
    </row>
    <row r="573" spans="4:85" ht="15">
      <c r="D573" s="1"/>
      <c r="E573" s="1"/>
      <c r="F573" s="1"/>
      <c r="G573" s="1"/>
      <c r="H573" s="1"/>
      <c r="I573" s="1"/>
      <c r="R573"/>
      <c r="S573"/>
      <c r="T573"/>
      <c r="U573"/>
      <c r="V573"/>
      <c r="W573"/>
      <c r="X573"/>
      <c r="Y573"/>
      <c r="Z573"/>
      <c r="AA573"/>
      <c r="AJ573"/>
      <c r="AL573"/>
      <c r="AM573"/>
      <c r="AN573"/>
      <c r="AO573"/>
      <c r="AP573"/>
      <c r="AQ573"/>
      <c r="AR573"/>
      <c r="AS573"/>
      <c r="AT573"/>
      <c r="AU573"/>
      <c r="AV573"/>
      <c r="AW573"/>
      <c r="AX573"/>
      <c r="AY573"/>
      <c r="AZ573"/>
      <c r="BA573"/>
      <c r="BB573"/>
      <c r="BC573"/>
      <c r="BD573"/>
      <c r="BE573"/>
      <c r="BF573"/>
      <c r="BG573"/>
      <c r="BH573"/>
      <c r="BI573"/>
      <c r="BJ573"/>
      <c r="BK573"/>
      <c r="BL573"/>
      <c r="BM573"/>
      <c r="BN573"/>
      <c r="BO573"/>
      <c r="BP573"/>
      <c r="BQ573"/>
      <c r="BR573"/>
      <c r="BS573"/>
      <c r="BT573"/>
      <c r="BU573"/>
      <c r="BV573"/>
      <c r="BW573"/>
      <c r="BX573"/>
      <c r="BY573"/>
      <c r="BZ573"/>
      <c r="CA573"/>
      <c r="CB573"/>
      <c r="CC573"/>
      <c r="CD573"/>
      <c r="CE573"/>
      <c r="CF573"/>
      <c r="CG573"/>
    </row>
    <row r="574" spans="4:85" ht="15">
      <c r="D574" s="1"/>
      <c r="E574" s="1"/>
      <c r="F574" s="1"/>
      <c r="G574" s="1"/>
      <c r="H574" s="1"/>
      <c r="I574" s="1"/>
      <c r="R574"/>
      <c r="S574"/>
      <c r="T574"/>
      <c r="U574"/>
      <c r="V574"/>
      <c r="W574"/>
      <c r="X574"/>
      <c r="Y574"/>
      <c r="Z574"/>
      <c r="AA574"/>
      <c r="AJ574"/>
      <c r="AL574"/>
      <c r="AM574"/>
      <c r="AN574"/>
      <c r="AO574"/>
      <c r="AP574"/>
      <c r="AQ574"/>
      <c r="AR574"/>
      <c r="AS574"/>
      <c r="AT574"/>
      <c r="AU574"/>
      <c r="AV574"/>
      <c r="AW574"/>
      <c r="AX574"/>
      <c r="AY574"/>
      <c r="AZ574"/>
      <c r="BA574"/>
      <c r="BB574"/>
      <c r="BC574"/>
      <c r="BD574"/>
      <c r="BE574"/>
      <c r="BF574"/>
      <c r="BG574"/>
      <c r="BH574"/>
      <c r="BI574"/>
      <c r="BJ574"/>
      <c r="BK574"/>
      <c r="BL574"/>
      <c r="BM574"/>
      <c r="BN574"/>
      <c r="BO574"/>
      <c r="BP574"/>
      <c r="BQ574"/>
      <c r="BR574"/>
      <c r="BS574"/>
      <c r="BT574"/>
      <c r="BU574"/>
      <c r="BV574"/>
      <c r="BW574"/>
      <c r="BX574"/>
      <c r="BY574"/>
      <c r="BZ574"/>
      <c r="CA574"/>
      <c r="CB574"/>
      <c r="CC574"/>
      <c r="CD574"/>
      <c r="CE574"/>
      <c r="CF574"/>
      <c r="CG574"/>
    </row>
    <row r="575" spans="4:85" ht="15">
      <c r="D575" s="1"/>
      <c r="E575" s="1"/>
      <c r="F575" s="1"/>
      <c r="G575" s="1"/>
      <c r="H575" s="1"/>
      <c r="I575" s="1"/>
      <c r="R575"/>
      <c r="S575"/>
      <c r="T575"/>
      <c r="U575"/>
      <c r="V575"/>
      <c r="W575"/>
      <c r="X575"/>
      <c r="Y575"/>
      <c r="Z575"/>
      <c r="AA575"/>
      <c r="AJ575"/>
      <c r="AL575"/>
      <c r="AM575"/>
      <c r="AN575"/>
      <c r="AO575"/>
      <c r="AP575"/>
      <c r="AQ575"/>
      <c r="AR575"/>
      <c r="AS575"/>
      <c r="AT575"/>
      <c r="AU575"/>
      <c r="AV575"/>
      <c r="AW575"/>
      <c r="AX575"/>
      <c r="AY575"/>
      <c r="AZ575"/>
      <c r="BA575"/>
      <c r="BB575"/>
      <c r="BC575"/>
      <c r="BD575"/>
      <c r="BE575"/>
      <c r="BF575"/>
      <c r="BG575"/>
      <c r="BH575"/>
      <c r="BI575"/>
      <c r="BJ575"/>
      <c r="BK575"/>
      <c r="BL575"/>
      <c r="BM575"/>
      <c r="BN575"/>
      <c r="BO575"/>
      <c r="BP575"/>
      <c r="BQ575"/>
      <c r="BR575"/>
      <c r="BS575"/>
      <c r="BT575"/>
      <c r="BU575"/>
      <c r="BV575"/>
      <c r="BW575"/>
      <c r="BX575"/>
      <c r="BY575"/>
      <c r="BZ575"/>
      <c r="CA575"/>
      <c r="CB575"/>
      <c r="CC575"/>
      <c r="CD575"/>
      <c r="CE575"/>
      <c r="CF575"/>
      <c r="CG575"/>
    </row>
    <row r="576" spans="4:85" ht="15">
      <c r="D576" s="1"/>
      <c r="E576" s="1"/>
      <c r="F576" s="1"/>
      <c r="G576" s="1"/>
      <c r="H576" s="1"/>
      <c r="I576" s="1"/>
      <c r="R576"/>
      <c r="S576"/>
      <c r="T576"/>
      <c r="U576"/>
      <c r="V576"/>
      <c r="W576"/>
      <c r="X576"/>
      <c r="Y576"/>
      <c r="Z576"/>
      <c r="AA576"/>
      <c r="AJ576"/>
      <c r="AL576"/>
      <c r="AM576"/>
      <c r="AN576"/>
      <c r="AO576"/>
      <c r="AP576"/>
      <c r="AQ576"/>
      <c r="AR576"/>
      <c r="AS576"/>
      <c r="AT576"/>
      <c r="AU576"/>
      <c r="AV576"/>
      <c r="AW576"/>
      <c r="AX576"/>
      <c r="AY576"/>
      <c r="AZ576"/>
      <c r="BA576"/>
      <c r="BB576"/>
      <c r="BC576"/>
      <c r="BD576"/>
      <c r="BE576"/>
      <c r="BF576"/>
      <c r="BG576"/>
      <c r="BH576"/>
      <c r="BI576"/>
      <c r="BJ576"/>
      <c r="BK576"/>
      <c r="BL576"/>
      <c r="BM576"/>
      <c r="BN576"/>
      <c r="BO576"/>
      <c r="BP576"/>
      <c r="BQ576"/>
      <c r="BR576"/>
      <c r="BS576"/>
      <c r="BT576"/>
      <c r="BU576"/>
      <c r="BV576"/>
      <c r="BW576"/>
      <c r="BX576"/>
      <c r="BY576"/>
      <c r="BZ576"/>
      <c r="CA576"/>
      <c r="CB576"/>
      <c r="CC576"/>
      <c r="CD576"/>
      <c r="CE576"/>
      <c r="CF576"/>
      <c r="CG576"/>
    </row>
    <row r="577" spans="4:85" ht="15">
      <c r="D577" s="1"/>
      <c r="E577" s="1"/>
      <c r="F577" s="1"/>
      <c r="G577" s="1"/>
      <c r="H577" s="1"/>
      <c r="I577" s="1"/>
      <c r="R577"/>
      <c r="S577"/>
      <c r="T577"/>
      <c r="U577"/>
      <c r="V577"/>
      <c r="W577"/>
      <c r="X577"/>
      <c r="Y577"/>
      <c r="Z577"/>
      <c r="AA577"/>
      <c r="AJ577"/>
      <c r="AL577"/>
      <c r="AM577"/>
      <c r="AN577"/>
      <c r="AO577"/>
      <c r="AP577"/>
      <c r="AQ577"/>
      <c r="AR577"/>
      <c r="AS577"/>
      <c r="AT577"/>
      <c r="AU577"/>
      <c r="AV577"/>
      <c r="AW577"/>
      <c r="AX577"/>
      <c r="AY577"/>
      <c r="AZ577"/>
      <c r="BA577"/>
      <c r="BB577"/>
      <c r="BC577"/>
      <c r="BD577"/>
      <c r="BE577"/>
      <c r="BF577"/>
      <c r="BG577"/>
      <c r="BH577"/>
      <c r="BI577"/>
      <c r="BJ577"/>
      <c r="BK577"/>
      <c r="BL577"/>
      <c r="BM577"/>
      <c r="BN577"/>
      <c r="BO577"/>
      <c r="BP577"/>
      <c r="BQ577"/>
      <c r="BR577"/>
      <c r="BS577"/>
      <c r="BT577"/>
      <c r="BU577"/>
      <c r="BV577"/>
      <c r="BW577"/>
      <c r="BX577"/>
      <c r="BY577"/>
      <c r="BZ577"/>
      <c r="CA577"/>
      <c r="CB577"/>
      <c r="CC577"/>
      <c r="CD577"/>
      <c r="CE577"/>
      <c r="CF577"/>
      <c r="CG577"/>
    </row>
    <row r="578" spans="4:85" ht="15">
      <c r="D578" s="1"/>
      <c r="E578" s="1"/>
      <c r="F578" s="1"/>
      <c r="G578" s="1"/>
      <c r="H578" s="1"/>
      <c r="I578" s="1"/>
      <c r="R578"/>
      <c r="S578"/>
      <c r="T578"/>
      <c r="U578"/>
      <c r="V578"/>
      <c r="W578"/>
      <c r="X578"/>
      <c r="Y578"/>
      <c r="Z578"/>
      <c r="AA578"/>
      <c r="AJ578"/>
      <c r="AL578"/>
      <c r="AM578"/>
      <c r="AN578"/>
      <c r="AO578"/>
      <c r="AP578"/>
      <c r="AQ578"/>
      <c r="AR578"/>
      <c r="AS578"/>
      <c r="AT578"/>
      <c r="AU578"/>
      <c r="AV578"/>
      <c r="AW578"/>
      <c r="AX578"/>
      <c r="AY578"/>
      <c r="AZ578"/>
      <c r="BA578"/>
      <c r="BB578"/>
      <c r="BC578"/>
      <c r="BD578"/>
      <c r="BE578"/>
      <c r="BF578"/>
      <c r="BG578"/>
      <c r="BH578"/>
      <c r="BI578"/>
      <c r="BJ578"/>
      <c r="BK578"/>
      <c r="BL578"/>
      <c r="BM578"/>
      <c r="BN578"/>
      <c r="BO578"/>
      <c r="BP578"/>
      <c r="BQ578"/>
      <c r="BR578"/>
      <c r="BS578"/>
      <c r="BT578"/>
      <c r="BU578"/>
      <c r="BV578"/>
      <c r="BW578"/>
      <c r="BX578"/>
      <c r="BY578"/>
      <c r="BZ578"/>
      <c r="CA578"/>
      <c r="CB578"/>
      <c r="CC578"/>
      <c r="CD578"/>
      <c r="CE578"/>
      <c r="CF578"/>
      <c r="CG578"/>
    </row>
    <row r="579" spans="4:85" ht="15">
      <c r="D579" s="1"/>
      <c r="E579" s="1"/>
      <c r="F579" s="1"/>
      <c r="G579" s="1"/>
      <c r="H579" s="1"/>
      <c r="I579" s="1"/>
      <c r="R579"/>
      <c r="S579"/>
      <c r="T579"/>
      <c r="U579"/>
      <c r="V579"/>
      <c r="W579"/>
      <c r="X579"/>
      <c r="Y579"/>
      <c r="Z579"/>
      <c r="AA579"/>
      <c r="AJ579"/>
      <c r="AL579"/>
      <c r="AM579"/>
      <c r="AN579"/>
      <c r="AO579"/>
      <c r="AP579"/>
      <c r="AQ579"/>
      <c r="AR579"/>
      <c r="AS579"/>
      <c r="AT579"/>
      <c r="AU579"/>
      <c r="AV579"/>
      <c r="AW579"/>
      <c r="AX579"/>
      <c r="AY579"/>
      <c r="AZ579"/>
      <c r="BA579"/>
      <c r="BB579"/>
      <c r="BC579"/>
      <c r="BD579"/>
      <c r="BE579"/>
      <c r="BF579"/>
      <c r="BG579"/>
      <c r="BH579"/>
      <c r="BI579"/>
      <c r="BJ579"/>
      <c r="BK579"/>
      <c r="BL579"/>
      <c r="BM579"/>
      <c r="BN579"/>
      <c r="BO579"/>
      <c r="BP579"/>
      <c r="BQ579"/>
      <c r="BR579"/>
      <c r="BS579"/>
      <c r="BT579"/>
      <c r="BU579"/>
      <c r="BV579"/>
      <c r="BW579"/>
      <c r="BX579"/>
      <c r="BY579"/>
      <c r="BZ579"/>
      <c r="CA579"/>
      <c r="CB579"/>
      <c r="CC579"/>
      <c r="CD579"/>
      <c r="CE579"/>
      <c r="CF579"/>
      <c r="CG579"/>
    </row>
    <row r="580" spans="4:85" ht="15">
      <c r="D580" s="1"/>
      <c r="E580" s="1"/>
      <c r="F580" s="1"/>
      <c r="G580" s="1"/>
      <c r="H580" s="1"/>
      <c r="I580" s="1"/>
      <c r="R580"/>
      <c r="S580"/>
      <c r="T580"/>
      <c r="U580"/>
      <c r="V580"/>
      <c r="W580"/>
      <c r="X580"/>
      <c r="Y580"/>
      <c r="Z580"/>
      <c r="AA580"/>
      <c r="AJ580"/>
      <c r="AL580"/>
      <c r="AM580"/>
      <c r="AN580"/>
      <c r="AO580"/>
      <c r="AP580"/>
      <c r="AQ580"/>
      <c r="AR580"/>
      <c r="AS580"/>
      <c r="AT580"/>
      <c r="AU580"/>
      <c r="AV580"/>
      <c r="AW580"/>
      <c r="AX580"/>
      <c r="AY580"/>
      <c r="AZ580"/>
      <c r="BA580"/>
      <c r="BB580"/>
      <c r="BC580"/>
      <c r="BD580"/>
      <c r="BE580"/>
      <c r="BF580"/>
      <c r="BG580"/>
      <c r="BH580"/>
      <c r="BI580"/>
      <c r="BJ580"/>
      <c r="BK580"/>
      <c r="BL580"/>
      <c r="BM580"/>
      <c r="BN580"/>
      <c r="BO580"/>
      <c r="BP580"/>
      <c r="BQ580"/>
      <c r="BR580"/>
      <c r="BS580"/>
      <c r="BT580"/>
      <c r="BU580"/>
      <c r="BV580"/>
      <c r="BW580"/>
      <c r="BX580"/>
      <c r="BY580"/>
      <c r="BZ580"/>
      <c r="CA580"/>
      <c r="CB580"/>
      <c r="CC580"/>
      <c r="CD580"/>
      <c r="CE580"/>
      <c r="CF580"/>
      <c r="CG580"/>
    </row>
    <row r="581" spans="4:85" ht="15">
      <c r="D581" s="1"/>
      <c r="E581" s="1"/>
      <c r="F581" s="1"/>
      <c r="G581" s="1"/>
      <c r="H581" s="1"/>
      <c r="I581" s="1"/>
      <c r="R581"/>
      <c r="S581"/>
      <c r="T581"/>
      <c r="U581"/>
      <c r="V581"/>
      <c r="W581"/>
      <c r="X581"/>
      <c r="Y581"/>
      <c r="Z581"/>
      <c r="AA581"/>
      <c r="AJ581"/>
      <c r="AL581"/>
      <c r="AM581"/>
      <c r="AN581"/>
      <c r="AO581"/>
      <c r="AP581"/>
      <c r="AQ581"/>
      <c r="AR581"/>
      <c r="AS581"/>
      <c r="AT581"/>
      <c r="AU581"/>
      <c r="AV581"/>
      <c r="AW581"/>
      <c r="AX581"/>
      <c r="AY581"/>
      <c r="AZ581"/>
      <c r="BA581"/>
      <c r="BB581"/>
      <c r="BC581"/>
      <c r="BD581"/>
      <c r="BE581"/>
      <c r="BF581"/>
      <c r="BG581"/>
      <c r="BH581"/>
      <c r="BI581"/>
      <c r="BJ581"/>
      <c r="BK581"/>
      <c r="BL581"/>
      <c r="BM581"/>
      <c r="BN581"/>
      <c r="BO581"/>
      <c r="BP581"/>
      <c r="BQ581"/>
      <c r="BR581"/>
      <c r="BS581"/>
      <c r="BT581"/>
      <c r="BU581"/>
      <c r="BV581"/>
      <c r="BW581"/>
      <c r="BX581"/>
      <c r="BY581"/>
      <c r="BZ581"/>
      <c r="CA581"/>
      <c r="CB581"/>
      <c r="CC581"/>
      <c r="CD581"/>
      <c r="CE581"/>
      <c r="CF581"/>
      <c r="CG581"/>
    </row>
    <row r="582" spans="4:85" ht="15">
      <c r="D582" s="1"/>
      <c r="E582" s="1"/>
      <c r="F582" s="1"/>
      <c r="G582" s="1"/>
      <c r="H582" s="1"/>
      <c r="I582" s="1"/>
      <c r="R582"/>
      <c r="S582"/>
      <c r="T582"/>
      <c r="U582"/>
      <c r="V582"/>
      <c r="W582"/>
      <c r="X582"/>
      <c r="Y582"/>
      <c r="Z582"/>
      <c r="AA582"/>
      <c r="AJ582"/>
      <c r="AL582"/>
      <c r="AM582"/>
      <c r="AN582"/>
      <c r="AO582"/>
      <c r="AP582"/>
      <c r="AQ582"/>
      <c r="AR582"/>
      <c r="AS582"/>
      <c r="AT582"/>
      <c r="AU582"/>
      <c r="AV582"/>
      <c r="AW582"/>
      <c r="AX582"/>
      <c r="AY582"/>
      <c r="AZ582"/>
      <c r="BA582"/>
      <c r="BB582"/>
      <c r="BC582"/>
      <c r="BD582"/>
      <c r="BE582"/>
      <c r="BF582"/>
      <c r="BG582"/>
      <c r="BH582"/>
      <c r="BI582"/>
      <c r="BJ582"/>
      <c r="BK582"/>
      <c r="BL582"/>
      <c r="BM582"/>
      <c r="BN582"/>
      <c r="BO582"/>
      <c r="BP582"/>
      <c r="BQ582"/>
      <c r="BR582"/>
      <c r="BS582"/>
      <c r="BT582"/>
      <c r="BU582"/>
      <c r="BV582"/>
      <c r="BW582"/>
      <c r="BX582"/>
      <c r="BY582"/>
      <c r="BZ582"/>
      <c r="CA582"/>
      <c r="CB582"/>
      <c r="CC582"/>
      <c r="CD582"/>
      <c r="CE582"/>
      <c r="CF582"/>
      <c r="CG582"/>
    </row>
    <row r="583" spans="4:85" ht="15">
      <c r="D583" s="1"/>
      <c r="E583" s="1"/>
      <c r="F583" s="1"/>
      <c r="G583" s="1"/>
      <c r="H583" s="1"/>
      <c r="I583" s="1"/>
      <c r="R583"/>
      <c r="S583"/>
      <c r="T583"/>
      <c r="U583"/>
      <c r="V583"/>
      <c r="W583"/>
      <c r="X583"/>
      <c r="Y583"/>
      <c r="Z583"/>
      <c r="AA583"/>
      <c r="AJ583"/>
      <c r="AL583"/>
      <c r="AM583"/>
      <c r="AN583"/>
      <c r="AO583"/>
      <c r="AP583"/>
      <c r="AQ583"/>
      <c r="AR583"/>
      <c r="AS583"/>
      <c r="AT583"/>
      <c r="AU583"/>
      <c r="AV583"/>
      <c r="AW583"/>
      <c r="AX583"/>
      <c r="AY583"/>
      <c r="AZ583"/>
      <c r="BA583"/>
      <c r="BB583"/>
      <c r="BC583"/>
      <c r="BD583"/>
      <c r="BE583"/>
      <c r="BF583"/>
      <c r="BG583"/>
      <c r="BH583"/>
      <c r="BI583"/>
      <c r="BJ583"/>
      <c r="BK583"/>
      <c r="BL583"/>
      <c r="BM583"/>
      <c r="BN583"/>
      <c r="BO583"/>
      <c r="BP583"/>
      <c r="BQ583"/>
      <c r="BR583"/>
      <c r="BS583"/>
      <c r="BT583"/>
      <c r="BU583"/>
      <c r="BV583"/>
      <c r="BW583"/>
      <c r="BX583"/>
      <c r="BY583"/>
      <c r="BZ583"/>
      <c r="CA583"/>
      <c r="CB583"/>
      <c r="CC583"/>
      <c r="CD583"/>
      <c r="CE583"/>
      <c r="CF583"/>
      <c r="CG583"/>
    </row>
    <row r="584" spans="4:85" ht="15">
      <c r="D584" s="1"/>
      <c r="E584" s="1"/>
      <c r="F584" s="1"/>
      <c r="G584" s="1"/>
      <c r="H584" s="1"/>
      <c r="I584" s="1"/>
      <c r="R584"/>
      <c r="S584"/>
      <c r="T584"/>
      <c r="U584"/>
      <c r="V584"/>
      <c r="W584"/>
      <c r="X584"/>
      <c r="Y584"/>
      <c r="Z584"/>
      <c r="AA584"/>
      <c r="AJ584"/>
      <c r="AL584"/>
      <c r="AM584"/>
      <c r="AN584"/>
      <c r="AO584"/>
      <c r="AP584"/>
      <c r="AQ584"/>
      <c r="AR584"/>
      <c r="AS584"/>
      <c r="AT584"/>
      <c r="AU584"/>
      <c r="AV584"/>
      <c r="AW584"/>
      <c r="AX584"/>
      <c r="AY584"/>
      <c r="AZ584"/>
      <c r="BA584"/>
      <c r="BB584"/>
      <c r="BC584"/>
      <c r="BD584"/>
      <c r="BE584"/>
      <c r="BF584"/>
      <c r="BG584"/>
      <c r="BH584"/>
      <c r="BI584"/>
      <c r="BJ584"/>
      <c r="BK584"/>
      <c r="BL584"/>
      <c r="BM584"/>
      <c r="BN584"/>
      <c r="BO584"/>
      <c r="BP584"/>
      <c r="BQ584"/>
      <c r="BR584"/>
      <c r="BS584"/>
      <c r="BT584"/>
      <c r="BU584"/>
      <c r="BV584"/>
      <c r="BW584"/>
      <c r="BX584"/>
      <c r="BY584"/>
      <c r="BZ584"/>
      <c r="CA584"/>
      <c r="CB584"/>
      <c r="CC584"/>
      <c r="CD584"/>
      <c r="CE584"/>
      <c r="CF584"/>
      <c r="CG584"/>
    </row>
    <row r="585" spans="4:85" ht="15">
      <c r="D585" s="1"/>
      <c r="E585" s="1"/>
      <c r="F585" s="1"/>
      <c r="G585" s="1"/>
      <c r="H585" s="1"/>
      <c r="I585" s="1"/>
      <c r="R585"/>
      <c r="S585"/>
      <c r="T585"/>
      <c r="U585"/>
      <c r="V585"/>
      <c r="W585"/>
      <c r="X585"/>
      <c r="Y585"/>
      <c r="Z585"/>
      <c r="AA585"/>
      <c r="AJ585"/>
      <c r="AL585"/>
      <c r="AM585"/>
      <c r="AN585"/>
      <c r="AO585"/>
      <c r="AP585"/>
      <c r="AQ585"/>
      <c r="AR585"/>
      <c r="AS585"/>
      <c r="AT585"/>
      <c r="AU585"/>
      <c r="AV585"/>
      <c r="AW585"/>
      <c r="AX585"/>
      <c r="AY585"/>
      <c r="AZ585"/>
      <c r="BA585"/>
      <c r="BB585"/>
      <c r="BC585"/>
      <c r="BD585"/>
      <c r="BE585"/>
      <c r="BF585"/>
      <c r="BG585"/>
      <c r="BH585"/>
      <c r="BI585"/>
      <c r="BJ585"/>
      <c r="BK585"/>
      <c r="BL585"/>
      <c r="BM585"/>
      <c r="BN585"/>
      <c r="BO585"/>
      <c r="BP585"/>
      <c r="BQ585"/>
      <c r="BR585"/>
      <c r="BS585"/>
      <c r="BT585"/>
      <c r="BU585"/>
      <c r="BV585"/>
      <c r="BW585"/>
      <c r="BX585"/>
      <c r="BY585"/>
      <c r="BZ585"/>
      <c r="CA585"/>
      <c r="CB585"/>
      <c r="CC585"/>
      <c r="CD585"/>
      <c r="CE585"/>
      <c r="CF585"/>
      <c r="CG585"/>
    </row>
    <row r="586" spans="4:85" ht="15">
      <c r="D586" s="1"/>
      <c r="E586" s="1"/>
      <c r="F586" s="1"/>
      <c r="G586" s="1"/>
      <c r="H586" s="1"/>
      <c r="I586" s="1"/>
      <c r="R586"/>
      <c r="S586"/>
      <c r="T586"/>
      <c r="U586"/>
      <c r="V586"/>
      <c r="W586"/>
      <c r="X586"/>
      <c r="Y586"/>
      <c r="Z586"/>
      <c r="AA586"/>
      <c r="AJ586"/>
      <c r="AL586"/>
      <c r="AM586"/>
      <c r="AN586"/>
      <c r="AO586"/>
      <c r="AP586"/>
      <c r="AQ586"/>
      <c r="AR586"/>
      <c r="AS586"/>
      <c r="AT586"/>
      <c r="AU586"/>
      <c r="AV586"/>
      <c r="AW586"/>
      <c r="AX586"/>
      <c r="AY586"/>
      <c r="AZ586"/>
      <c r="BA586"/>
      <c r="BB586"/>
      <c r="BC586"/>
      <c r="BD586"/>
      <c r="BE586"/>
      <c r="BF586"/>
      <c r="BG586"/>
      <c r="BH586"/>
      <c r="BI586"/>
      <c r="BJ586"/>
      <c r="BK586"/>
      <c r="BL586"/>
      <c r="BM586"/>
      <c r="BN586"/>
      <c r="BO586"/>
      <c r="BP586"/>
      <c r="BQ586"/>
      <c r="BR586"/>
      <c r="BS586"/>
      <c r="BT586"/>
      <c r="BU586"/>
      <c r="BV586"/>
      <c r="BW586"/>
      <c r="BX586"/>
      <c r="BY586"/>
      <c r="BZ586"/>
      <c r="CA586"/>
      <c r="CB586"/>
      <c r="CC586"/>
      <c r="CD586"/>
      <c r="CE586"/>
      <c r="CF586"/>
      <c r="CG586"/>
    </row>
    <row r="587" spans="4:85" ht="15">
      <c r="D587" s="1"/>
      <c r="E587" s="1"/>
      <c r="F587" s="1"/>
      <c r="G587" s="1"/>
      <c r="H587" s="1"/>
      <c r="I587" s="1"/>
      <c r="R587"/>
      <c r="S587"/>
      <c r="T587"/>
      <c r="U587"/>
      <c r="V587"/>
      <c r="W587"/>
      <c r="X587"/>
      <c r="Y587"/>
      <c r="Z587"/>
      <c r="AA587"/>
      <c r="AJ587"/>
      <c r="AL587"/>
      <c r="AM587"/>
      <c r="AN587"/>
      <c r="AO587"/>
      <c r="AP587"/>
      <c r="AQ587"/>
      <c r="AR587"/>
      <c r="AS587"/>
      <c r="AT587"/>
      <c r="AU587"/>
      <c r="AV587"/>
      <c r="AW587"/>
      <c r="AX587"/>
      <c r="AY587"/>
      <c r="AZ587"/>
      <c r="BA587"/>
      <c r="BB587"/>
      <c r="BC587"/>
      <c r="BD587"/>
      <c r="BE587"/>
      <c r="BF587"/>
      <c r="BG587"/>
      <c r="BH587"/>
      <c r="BI587"/>
      <c r="BJ587"/>
      <c r="BK587"/>
      <c r="BL587"/>
      <c r="BM587"/>
      <c r="BN587"/>
      <c r="BO587"/>
      <c r="BP587"/>
      <c r="BQ587"/>
      <c r="BR587"/>
      <c r="BS587"/>
      <c r="BT587"/>
      <c r="BU587"/>
      <c r="BV587"/>
      <c r="BW587"/>
      <c r="BX587"/>
      <c r="BY587"/>
      <c r="BZ587"/>
      <c r="CA587"/>
      <c r="CB587"/>
      <c r="CC587"/>
      <c r="CD587"/>
      <c r="CE587"/>
      <c r="CF587"/>
      <c r="CG587"/>
    </row>
    <row r="588" spans="4:85" ht="15">
      <c r="D588" s="1"/>
      <c r="E588" s="1"/>
      <c r="F588" s="1"/>
      <c r="G588" s="1"/>
      <c r="H588" s="1"/>
      <c r="I588" s="1"/>
      <c r="R588"/>
      <c r="S588"/>
      <c r="T588"/>
      <c r="U588"/>
      <c r="V588"/>
      <c r="W588"/>
      <c r="X588"/>
      <c r="Y588"/>
      <c r="Z588"/>
      <c r="AA588"/>
      <c r="AJ588"/>
      <c r="AL588"/>
      <c r="AM588"/>
      <c r="AN588"/>
      <c r="AO588"/>
      <c r="AP588"/>
      <c r="AQ588"/>
      <c r="AR588"/>
      <c r="AS588"/>
      <c r="AT588"/>
      <c r="AU588"/>
      <c r="AV588"/>
      <c r="AW588"/>
      <c r="AX588"/>
      <c r="AY588"/>
      <c r="AZ588"/>
      <c r="BA588"/>
      <c r="BB588"/>
      <c r="BC588"/>
      <c r="BD588"/>
      <c r="BE588"/>
      <c r="BF588"/>
      <c r="BG588"/>
      <c r="BH588"/>
      <c r="BI588"/>
      <c r="BJ588"/>
      <c r="BK588"/>
      <c r="BL588"/>
      <c r="BM588"/>
      <c r="BN588"/>
      <c r="BO588"/>
      <c r="BP588"/>
      <c r="BQ588"/>
      <c r="BR588"/>
      <c r="BS588"/>
      <c r="BT588"/>
      <c r="BU588"/>
      <c r="BV588"/>
      <c r="BW588"/>
      <c r="BX588"/>
      <c r="BY588"/>
      <c r="BZ588"/>
      <c r="CA588"/>
      <c r="CB588"/>
      <c r="CC588"/>
      <c r="CD588"/>
      <c r="CE588"/>
      <c r="CF588"/>
      <c r="CG588"/>
    </row>
    <row r="589" spans="4:85" ht="15">
      <c r="D589" s="1"/>
      <c r="E589" s="1"/>
      <c r="F589" s="1"/>
      <c r="G589" s="1"/>
      <c r="H589" s="1"/>
      <c r="I589" s="1"/>
      <c r="R589"/>
      <c r="S589"/>
      <c r="T589"/>
      <c r="U589"/>
      <c r="V589"/>
      <c r="W589"/>
      <c r="X589"/>
      <c r="Y589"/>
      <c r="Z589"/>
      <c r="AA589"/>
      <c r="AJ589"/>
      <c r="AL589"/>
      <c r="AM589"/>
      <c r="AN589"/>
      <c r="AO589"/>
      <c r="AP589"/>
      <c r="AQ589"/>
      <c r="AR589"/>
      <c r="AS589"/>
      <c r="AT589"/>
      <c r="AU589"/>
      <c r="AV589"/>
      <c r="AW589"/>
      <c r="AX589"/>
      <c r="AY589"/>
      <c r="AZ589"/>
      <c r="BA589"/>
      <c r="BB589"/>
      <c r="BC589"/>
      <c r="BD589"/>
      <c r="BE589"/>
      <c r="BF589"/>
      <c r="BG589"/>
      <c r="BH589"/>
      <c r="BI589"/>
      <c r="BJ589"/>
      <c r="BK589"/>
      <c r="BL589"/>
      <c r="BM589"/>
      <c r="BN589"/>
      <c r="BO589"/>
      <c r="BP589"/>
      <c r="BQ589"/>
      <c r="BR589"/>
      <c r="BS589"/>
      <c r="BT589"/>
      <c r="BU589"/>
      <c r="BV589"/>
      <c r="BW589"/>
      <c r="BX589"/>
      <c r="BY589"/>
      <c r="BZ589"/>
      <c r="CA589"/>
      <c r="CB589"/>
      <c r="CC589"/>
      <c r="CD589"/>
      <c r="CE589"/>
      <c r="CF589"/>
      <c r="CG589"/>
    </row>
    <row r="590" spans="4:85" ht="15">
      <c r="D590" s="1"/>
      <c r="E590" s="1"/>
      <c r="F590" s="1"/>
      <c r="G590" s="1"/>
      <c r="H590" s="1"/>
      <c r="I590" s="1"/>
      <c r="R590"/>
      <c r="S590"/>
      <c r="T590"/>
      <c r="U590"/>
      <c r="V590"/>
      <c r="W590"/>
      <c r="X590"/>
      <c r="Y590"/>
      <c r="Z590"/>
      <c r="AA590"/>
      <c r="AJ590"/>
      <c r="AL590"/>
      <c r="AM590"/>
      <c r="AN590"/>
      <c r="AO590"/>
      <c r="AP590"/>
      <c r="AQ590"/>
      <c r="AR590"/>
      <c r="AS590"/>
      <c r="AT590"/>
      <c r="AU590"/>
      <c r="AV590"/>
      <c r="AW590"/>
      <c r="AX590"/>
      <c r="AY590"/>
      <c r="AZ590"/>
      <c r="BA590"/>
      <c r="BB590"/>
      <c r="BC590"/>
      <c r="BD590"/>
      <c r="BE590"/>
      <c r="BF590"/>
      <c r="BG590"/>
      <c r="BH590"/>
      <c r="BI590"/>
      <c r="BJ590"/>
      <c r="BK590"/>
      <c r="BL590"/>
      <c r="BM590"/>
      <c r="BN590"/>
      <c r="BO590"/>
      <c r="BP590"/>
      <c r="BQ590"/>
      <c r="BR590"/>
      <c r="BS590"/>
      <c r="BT590"/>
      <c r="BU590"/>
      <c r="BV590"/>
      <c r="BW590"/>
      <c r="BX590"/>
      <c r="BY590"/>
      <c r="BZ590"/>
      <c r="CA590"/>
      <c r="CB590"/>
      <c r="CC590"/>
      <c r="CD590"/>
      <c r="CE590"/>
      <c r="CF590"/>
      <c r="CG590"/>
    </row>
    <row r="591" spans="4:85" ht="15">
      <c r="D591" s="1"/>
      <c r="E591" s="1"/>
      <c r="F591" s="1"/>
      <c r="G591" s="1"/>
      <c r="H591" s="1"/>
      <c r="I591" s="1"/>
      <c r="R591"/>
      <c r="S591"/>
      <c r="T591"/>
      <c r="U591"/>
      <c r="V591"/>
      <c r="W591"/>
      <c r="X591"/>
      <c r="Y591"/>
      <c r="Z591"/>
      <c r="AA591"/>
      <c r="AJ591"/>
      <c r="AL591"/>
      <c r="AM591"/>
      <c r="AN591"/>
      <c r="AO591"/>
      <c r="AP591"/>
      <c r="AQ591"/>
      <c r="AR591"/>
      <c r="AS591"/>
      <c r="AT591"/>
      <c r="AU591"/>
      <c r="AV591"/>
      <c r="AW591"/>
      <c r="AX591"/>
      <c r="AY591"/>
      <c r="AZ591"/>
      <c r="BA591"/>
      <c r="BB591"/>
      <c r="BC591"/>
      <c r="BD591"/>
      <c r="BE591"/>
      <c r="BF591"/>
      <c r="BG591"/>
      <c r="BH591"/>
      <c r="BI591"/>
      <c r="BJ591"/>
      <c r="BK591"/>
      <c r="BL591"/>
      <c r="BM591"/>
      <c r="BN591"/>
      <c r="BO591"/>
      <c r="BP591"/>
      <c r="BQ591"/>
      <c r="BR591"/>
      <c r="BS591"/>
      <c r="BT591"/>
      <c r="BU591"/>
      <c r="BV591"/>
      <c r="BW591"/>
      <c r="BX591"/>
      <c r="BY591"/>
      <c r="BZ591"/>
      <c r="CA591"/>
      <c r="CB591"/>
      <c r="CC591"/>
      <c r="CD591"/>
      <c r="CE591"/>
      <c r="CF591"/>
      <c r="CG591"/>
    </row>
    <row r="592" spans="4:85" ht="15">
      <c r="D592" s="1"/>
      <c r="E592" s="1"/>
      <c r="F592" s="1"/>
      <c r="G592" s="1"/>
      <c r="H592" s="1"/>
      <c r="I592" s="1"/>
      <c r="R592"/>
      <c r="S592"/>
      <c r="T592"/>
      <c r="U592"/>
      <c r="V592"/>
      <c r="W592"/>
      <c r="X592"/>
      <c r="Y592"/>
      <c r="Z592"/>
      <c r="AA592"/>
      <c r="AJ592"/>
      <c r="AL592"/>
      <c r="AM592"/>
      <c r="AN592"/>
      <c r="AO592"/>
      <c r="AP592"/>
      <c r="AQ592"/>
      <c r="AR592"/>
      <c r="AS592"/>
      <c r="AT592"/>
      <c r="AU592"/>
      <c r="AV592"/>
      <c r="AW592"/>
      <c r="AX592"/>
      <c r="AY592"/>
      <c r="AZ592"/>
      <c r="BA592"/>
      <c r="BB592"/>
      <c r="BC592"/>
      <c r="BD592"/>
      <c r="BE592"/>
      <c r="BF592"/>
      <c r="BG592"/>
      <c r="BH592"/>
      <c r="BI592"/>
      <c r="BJ592"/>
      <c r="BK592"/>
      <c r="BL592"/>
      <c r="BM592"/>
      <c r="BN592"/>
      <c r="BO592"/>
      <c r="BP592"/>
      <c r="BQ592"/>
      <c r="BR592"/>
      <c r="BS592"/>
      <c r="BT592"/>
      <c r="BU592"/>
      <c r="BV592"/>
      <c r="BW592"/>
      <c r="BX592"/>
      <c r="BY592"/>
      <c r="BZ592"/>
      <c r="CA592"/>
      <c r="CB592"/>
      <c r="CC592"/>
      <c r="CD592"/>
      <c r="CE592"/>
      <c r="CF592"/>
      <c r="CG592"/>
    </row>
    <row r="593" spans="4:85" ht="15">
      <c r="D593" s="1"/>
      <c r="E593" s="1"/>
      <c r="F593" s="1"/>
      <c r="G593" s="1"/>
      <c r="H593" s="1"/>
      <c r="I593" s="1"/>
      <c r="R593"/>
      <c r="S593"/>
      <c r="T593"/>
      <c r="U593"/>
      <c r="V593"/>
      <c r="W593"/>
      <c r="X593"/>
      <c r="Y593"/>
      <c r="Z593"/>
      <c r="AA593"/>
      <c r="AJ593"/>
      <c r="AL593"/>
      <c r="AM593"/>
      <c r="AN593"/>
      <c r="AO593"/>
      <c r="AP593"/>
      <c r="AQ593"/>
      <c r="AR593"/>
      <c r="AS593"/>
      <c r="AT593"/>
      <c r="AU593"/>
      <c r="AV593"/>
      <c r="AW593"/>
      <c r="AX593"/>
      <c r="AY593"/>
      <c r="AZ593"/>
      <c r="BA593"/>
      <c r="BB593"/>
      <c r="BC593"/>
      <c r="BD593"/>
      <c r="BE593"/>
      <c r="BF593"/>
      <c r="BG593"/>
      <c r="BH593"/>
      <c r="BI593"/>
      <c r="BJ593"/>
      <c r="BK593"/>
      <c r="BL593"/>
      <c r="BM593"/>
      <c r="BN593"/>
      <c r="BO593"/>
      <c r="BP593"/>
      <c r="BQ593"/>
      <c r="BR593"/>
      <c r="BS593"/>
      <c r="BT593"/>
      <c r="BU593"/>
      <c r="BV593"/>
      <c r="BW593"/>
      <c r="BX593"/>
      <c r="BY593"/>
      <c r="BZ593"/>
      <c r="CA593"/>
      <c r="CB593"/>
      <c r="CC593"/>
      <c r="CD593"/>
      <c r="CE593"/>
      <c r="CF593"/>
      <c r="CG593"/>
    </row>
    <row r="594" spans="4:85" ht="15">
      <c r="D594" s="1"/>
      <c r="E594" s="1"/>
      <c r="F594" s="1"/>
      <c r="G594" s="1"/>
      <c r="H594" s="1"/>
      <c r="I594" s="1"/>
      <c r="R594"/>
      <c r="S594"/>
      <c r="T594"/>
      <c r="U594"/>
      <c r="V594"/>
      <c r="W594"/>
      <c r="X594"/>
      <c r="Y594"/>
      <c r="Z594"/>
      <c r="AA594"/>
      <c r="AJ594"/>
      <c r="AL594"/>
      <c r="AM594"/>
      <c r="AN594"/>
      <c r="AO594"/>
      <c r="AP594"/>
      <c r="AQ594"/>
      <c r="AR594"/>
      <c r="AS594"/>
      <c r="AT594"/>
      <c r="AU594"/>
      <c r="AV594"/>
      <c r="AW594"/>
      <c r="AX594"/>
      <c r="AY594"/>
      <c r="AZ594"/>
      <c r="BA594"/>
      <c r="BB594"/>
      <c r="BC594"/>
      <c r="BD594"/>
      <c r="BE594"/>
      <c r="BF594"/>
      <c r="BG594"/>
      <c r="BH594"/>
      <c r="BI594"/>
      <c r="BJ594"/>
      <c r="BK594"/>
      <c r="BL594"/>
      <c r="BM594"/>
      <c r="BN594"/>
      <c r="BO594"/>
      <c r="BP594"/>
      <c r="BQ594"/>
      <c r="BR594"/>
      <c r="BS594"/>
      <c r="BT594"/>
      <c r="BU594"/>
      <c r="BV594"/>
      <c r="BW594"/>
      <c r="BX594"/>
      <c r="BY594"/>
      <c r="BZ594"/>
      <c r="CA594"/>
      <c r="CB594"/>
      <c r="CC594"/>
      <c r="CD594"/>
      <c r="CE594"/>
      <c r="CF594"/>
      <c r="CG594"/>
    </row>
    <row r="595" spans="4:85" ht="15">
      <c r="D595" s="1"/>
      <c r="E595" s="1"/>
      <c r="F595" s="1"/>
      <c r="G595" s="1"/>
      <c r="H595" s="1"/>
      <c r="I595" s="1"/>
      <c r="R595"/>
      <c r="S595"/>
      <c r="T595"/>
      <c r="U595"/>
      <c r="V595"/>
      <c r="W595"/>
      <c r="X595"/>
      <c r="Y595"/>
      <c r="Z595"/>
      <c r="AA595"/>
      <c r="AJ595"/>
      <c r="AL595"/>
      <c r="AM595"/>
      <c r="AN595"/>
      <c r="AO595"/>
      <c r="AP595"/>
      <c r="AQ595"/>
      <c r="AR595"/>
      <c r="AS595"/>
      <c r="AT595"/>
      <c r="AU595"/>
      <c r="AV595"/>
      <c r="AW595"/>
      <c r="AX595"/>
      <c r="AY595"/>
      <c r="AZ595"/>
      <c r="BA595"/>
      <c r="BB595"/>
      <c r="BC595"/>
      <c r="BD595"/>
      <c r="BE595"/>
      <c r="BF595"/>
      <c r="BG595"/>
      <c r="BH595"/>
      <c r="BI595"/>
      <c r="BJ595"/>
      <c r="BK595"/>
      <c r="BL595"/>
      <c r="BM595"/>
      <c r="BN595"/>
      <c r="BO595"/>
      <c r="BP595"/>
      <c r="BQ595"/>
      <c r="BR595"/>
      <c r="BS595"/>
      <c r="BT595"/>
      <c r="BU595"/>
      <c r="BV595"/>
      <c r="BW595"/>
      <c r="BX595"/>
      <c r="BY595"/>
      <c r="BZ595"/>
      <c r="CA595"/>
      <c r="CB595"/>
      <c r="CC595"/>
      <c r="CD595"/>
      <c r="CE595"/>
      <c r="CF595"/>
      <c r="CG595"/>
    </row>
    <row r="596" spans="4:85" ht="15">
      <c r="D596" s="1"/>
      <c r="E596" s="1"/>
      <c r="F596" s="1"/>
      <c r="G596" s="1"/>
      <c r="H596" s="1"/>
      <c r="I596" s="1"/>
      <c r="R596"/>
      <c r="S596"/>
      <c r="T596"/>
      <c r="U596"/>
      <c r="V596"/>
      <c r="W596"/>
      <c r="X596"/>
      <c r="Y596"/>
      <c r="Z596"/>
      <c r="AA596"/>
      <c r="AJ596"/>
      <c r="AL596"/>
      <c r="AM596"/>
      <c r="AN596"/>
      <c r="AO596"/>
      <c r="AP596"/>
      <c r="AQ596"/>
      <c r="AR596"/>
      <c r="AS596"/>
      <c r="AT596"/>
      <c r="AU596"/>
      <c r="AV596"/>
      <c r="AW596"/>
      <c r="AX596"/>
      <c r="AY596"/>
      <c r="AZ596"/>
      <c r="BA596"/>
      <c r="BB596"/>
      <c r="BC596"/>
      <c r="BD596"/>
      <c r="BE596"/>
      <c r="BF596"/>
      <c r="BG596"/>
      <c r="BH596"/>
      <c r="BI596"/>
      <c r="BJ596"/>
      <c r="BK596"/>
      <c r="BL596"/>
      <c r="BM596"/>
      <c r="BN596"/>
      <c r="BO596"/>
      <c r="BP596"/>
      <c r="BQ596"/>
      <c r="BR596"/>
      <c r="BS596"/>
      <c r="BT596"/>
      <c r="BU596"/>
      <c r="BV596"/>
      <c r="BW596"/>
      <c r="BX596"/>
      <c r="BY596"/>
      <c r="BZ596"/>
      <c r="CA596"/>
      <c r="CB596"/>
      <c r="CC596"/>
      <c r="CD596"/>
      <c r="CE596"/>
      <c r="CF596"/>
      <c r="CG596"/>
    </row>
    <row r="597" spans="4:85" ht="15">
      <c r="D597" s="1"/>
      <c r="E597" s="1"/>
      <c r="F597" s="1"/>
      <c r="G597" s="1"/>
      <c r="H597" s="1"/>
      <c r="I597" s="1"/>
      <c r="R597"/>
      <c r="S597"/>
      <c r="T597"/>
      <c r="U597"/>
      <c r="V597"/>
      <c r="W597"/>
      <c r="X597"/>
      <c r="Y597"/>
      <c r="Z597"/>
      <c r="AA597"/>
      <c r="AJ597"/>
      <c r="AL597"/>
      <c r="AM597"/>
      <c r="AN597"/>
      <c r="AO597"/>
      <c r="AP597"/>
      <c r="AQ597"/>
      <c r="AR597"/>
      <c r="AS597"/>
      <c r="AT597"/>
      <c r="AU597"/>
      <c r="AV597"/>
      <c r="AW597"/>
      <c r="AX597"/>
      <c r="AY597"/>
      <c r="AZ597"/>
      <c r="BA597"/>
      <c r="BB597"/>
      <c r="BC597"/>
      <c r="BD597"/>
      <c r="BE597"/>
      <c r="BF597"/>
      <c r="BG597"/>
      <c r="BH597"/>
      <c r="BI597"/>
      <c r="BJ597"/>
      <c r="BK597"/>
      <c r="BL597"/>
      <c r="BM597"/>
      <c r="BN597"/>
      <c r="BO597"/>
      <c r="BP597"/>
      <c r="BQ597"/>
      <c r="BR597"/>
      <c r="BS597"/>
      <c r="BT597"/>
      <c r="BU597"/>
      <c r="BV597"/>
      <c r="BW597"/>
      <c r="BX597"/>
      <c r="BY597"/>
      <c r="BZ597"/>
      <c r="CA597"/>
      <c r="CB597"/>
      <c r="CC597"/>
      <c r="CD597"/>
      <c r="CE597"/>
      <c r="CF597"/>
      <c r="CG597"/>
    </row>
    <row r="598" spans="4:85" ht="15">
      <c r="D598" s="1"/>
      <c r="E598" s="1"/>
      <c r="F598" s="1"/>
      <c r="G598" s="1"/>
      <c r="H598" s="1"/>
      <c r="I598" s="1"/>
      <c r="R598"/>
      <c r="S598"/>
      <c r="T598"/>
      <c r="U598"/>
      <c r="V598"/>
      <c r="W598"/>
      <c r="X598"/>
      <c r="Y598"/>
      <c r="Z598"/>
      <c r="AA598"/>
      <c r="AJ598"/>
      <c r="AL598"/>
      <c r="AM598"/>
      <c r="AN598"/>
      <c r="AO598"/>
      <c r="AP598"/>
      <c r="AQ598"/>
      <c r="AR598"/>
      <c r="AS598"/>
      <c r="AT598"/>
      <c r="AU598"/>
      <c r="AV598"/>
      <c r="AW598"/>
      <c r="AX598"/>
      <c r="AY598"/>
      <c r="AZ598"/>
      <c r="BA598"/>
      <c r="BB598"/>
      <c r="BC598"/>
      <c r="BD598"/>
      <c r="BE598"/>
      <c r="BF598"/>
      <c r="BG598"/>
      <c r="BH598"/>
      <c r="BI598"/>
      <c r="BJ598"/>
      <c r="BK598"/>
      <c r="BL598"/>
      <c r="BM598"/>
      <c r="BN598"/>
      <c r="BO598"/>
      <c r="BP598"/>
      <c r="BQ598"/>
      <c r="BR598"/>
      <c r="BS598"/>
      <c r="BT598"/>
      <c r="BU598"/>
      <c r="BV598"/>
      <c r="BW598"/>
      <c r="BX598"/>
      <c r="BY598"/>
      <c r="BZ598"/>
      <c r="CA598"/>
      <c r="CB598"/>
      <c r="CC598"/>
      <c r="CD598"/>
      <c r="CE598"/>
      <c r="CF598"/>
      <c r="CG598"/>
    </row>
    <row r="599" spans="4:85" ht="15">
      <c r="D599" s="1"/>
      <c r="E599" s="1"/>
      <c r="F599" s="1"/>
      <c r="G599" s="1"/>
      <c r="H599" s="1"/>
      <c r="I599" s="1"/>
      <c r="R599"/>
      <c r="S599"/>
      <c r="T599"/>
      <c r="U599"/>
      <c r="V599"/>
      <c r="W599"/>
      <c r="X599"/>
      <c r="Y599"/>
      <c r="Z599"/>
      <c r="AA599"/>
      <c r="AJ599"/>
      <c r="AL599"/>
      <c r="AM599"/>
      <c r="AN599"/>
      <c r="AO599"/>
      <c r="AP599"/>
      <c r="AQ599"/>
      <c r="AR599"/>
      <c r="AS599"/>
      <c r="AT599"/>
      <c r="AU599"/>
      <c r="AV599"/>
      <c r="AW599"/>
      <c r="AX599"/>
      <c r="AY599"/>
      <c r="AZ599"/>
      <c r="BA599"/>
      <c r="BB599"/>
      <c r="BC599"/>
      <c r="BD599"/>
      <c r="BE599"/>
      <c r="BF599"/>
      <c r="BG599"/>
      <c r="BH599"/>
      <c r="BI599"/>
      <c r="BJ599"/>
      <c r="BK599"/>
      <c r="BL599"/>
      <c r="BM599"/>
      <c r="BN599"/>
      <c r="BO599"/>
      <c r="BP599"/>
      <c r="BQ599"/>
      <c r="BR599"/>
      <c r="BS599"/>
      <c r="BT599"/>
      <c r="BU599"/>
      <c r="BV599"/>
      <c r="BW599"/>
      <c r="BX599"/>
      <c r="BY599"/>
      <c r="BZ599"/>
      <c r="CA599"/>
      <c r="CB599"/>
      <c r="CC599"/>
      <c r="CD599"/>
      <c r="CE599"/>
      <c r="CF599"/>
      <c r="CG599"/>
    </row>
    <row r="600" spans="4:85" ht="15">
      <c r="D600" s="1"/>
      <c r="E600" s="1"/>
      <c r="F600" s="1"/>
      <c r="G600" s="1"/>
      <c r="H600" s="1"/>
      <c r="I600" s="1"/>
      <c r="R600"/>
      <c r="S600"/>
      <c r="T600"/>
      <c r="U600"/>
      <c r="V600"/>
      <c r="W600"/>
      <c r="X600"/>
      <c r="Y600"/>
      <c r="Z600"/>
      <c r="AA600"/>
      <c r="AJ600"/>
      <c r="AL600"/>
      <c r="AM600"/>
      <c r="AN600"/>
      <c r="AO600"/>
      <c r="AP600"/>
      <c r="AQ600"/>
      <c r="AR600"/>
      <c r="AS600"/>
      <c r="AT600"/>
      <c r="AU600"/>
      <c r="AV600"/>
      <c r="AW600"/>
      <c r="AX600"/>
      <c r="AY600"/>
      <c r="AZ600"/>
      <c r="BA600"/>
      <c r="BB600"/>
      <c r="BC600"/>
      <c r="BD600"/>
      <c r="BE600"/>
      <c r="BF600"/>
      <c r="BG600"/>
      <c r="BH600"/>
      <c r="BI600"/>
      <c r="BJ600"/>
      <c r="BK600"/>
      <c r="BL600"/>
      <c r="BM600"/>
      <c r="BN600"/>
      <c r="BO600"/>
      <c r="BP600"/>
      <c r="BQ600"/>
      <c r="BR600"/>
      <c r="BS600"/>
      <c r="BT600"/>
      <c r="BU600"/>
      <c r="BV600"/>
      <c r="BW600"/>
      <c r="BX600"/>
      <c r="BY600"/>
      <c r="BZ600"/>
      <c r="CA600"/>
      <c r="CB600"/>
      <c r="CC600"/>
      <c r="CD600"/>
      <c r="CE600"/>
      <c r="CF600"/>
      <c r="CG600"/>
    </row>
    <row r="601" spans="4:85" ht="15">
      <c r="D601" s="1"/>
      <c r="E601" s="1"/>
      <c r="F601" s="1"/>
      <c r="G601" s="1"/>
      <c r="H601" s="1"/>
      <c r="I601" s="1"/>
      <c r="R601"/>
      <c r="S601"/>
      <c r="T601"/>
      <c r="U601"/>
      <c r="V601"/>
      <c r="W601"/>
      <c r="X601"/>
      <c r="Y601"/>
      <c r="Z601"/>
      <c r="AA601"/>
      <c r="AJ601"/>
      <c r="AL601"/>
      <c r="AM601"/>
      <c r="AN601"/>
      <c r="AO601"/>
      <c r="AP601"/>
      <c r="AQ601"/>
      <c r="AR601"/>
      <c r="AS601"/>
      <c r="AT601"/>
      <c r="AU601"/>
      <c r="AV601"/>
      <c r="AW601"/>
      <c r="AX601"/>
      <c r="AY601"/>
      <c r="AZ601"/>
      <c r="BA601"/>
      <c r="BB601"/>
      <c r="BC601"/>
      <c r="BD601"/>
      <c r="BE601"/>
      <c r="BF601"/>
      <c r="BG601"/>
      <c r="BH601"/>
      <c r="BI601"/>
      <c r="BJ601"/>
      <c r="BK601"/>
      <c r="BL601"/>
      <c r="BM601"/>
      <c r="BN601"/>
      <c r="BO601"/>
      <c r="BP601"/>
      <c r="BQ601"/>
      <c r="BR601"/>
      <c r="BS601"/>
      <c r="BT601"/>
      <c r="BU601"/>
      <c r="BV601"/>
      <c r="BW601"/>
      <c r="BX601"/>
      <c r="BY601"/>
      <c r="BZ601"/>
      <c r="CA601"/>
      <c r="CB601"/>
      <c r="CC601"/>
      <c r="CD601"/>
      <c r="CE601"/>
      <c r="CF601"/>
      <c r="CG601"/>
    </row>
    <row r="602" spans="4:85" ht="15">
      <c r="D602" s="1"/>
      <c r="E602" s="1"/>
      <c r="F602" s="1"/>
      <c r="G602" s="1"/>
      <c r="H602" s="1"/>
      <c r="I602" s="1"/>
      <c r="R602"/>
      <c r="S602"/>
      <c r="T602"/>
      <c r="U602"/>
      <c r="V602"/>
      <c r="W602"/>
      <c r="X602"/>
      <c r="Y602"/>
      <c r="Z602"/>
      <c r="AA602"/>
      <c r="AJ602"/>
      <c r="AL602"/>
      <c r="AM602"/>
      <c r="AN602"/>
      <c r="AO602"/>
      <c r="AP602"/>
      <c r="AQ602"/>
      <c r="AR602"/>
      <c r="AS602"/>
      <c r="AT602"/>
      <c r="AU602"/>
      <c r="AV602"/>
      <c r="AW602"/>
      <c r="AX602"/>
      <c r="AY602"/>
      <c r="AZ602"/>
      <c r="BA602"/>
      <c r="BB602"/>
      <c r="BC602"/>
      <c r="BD602"/>
      <c r="BE602"/>
      <c r="BF602"/>
      <c r="BG602"/>
      <c r="BH602"/>
      <c r="BI602"/>
      <c r="BJ602"/>
      <c r="BK602"/>
      <c r="BL602"/>
      <c r="BM602"/>
      <c r="BN602"/>
      <c r="BO602"/>
      <c r="BP602"/>
      <c r="BQ602"/>
      <c r="BR602"/>
      <c r="BS602"/>
      <c r="BT602"/>
      <c r="BU602"/>
      <c r="BV602"/>
      <c r="BW602"/>
      <c r="BX602"/>
      <c r="BY602"/>
      <c r="BZ602"/>
      <c r="CA602"/>
      <c r="CB602"/>
      <c r="CC602"/>
      <c r="CD602"/>
      <c r="CE602"/>
      <c r="CF602"/>
      <c r="CG602"/>
    </row>
    <row r="603" spans="4:85" ht="15">
      <c r="D603" s="1"/>
      <c r="E603" s="1"/>
      <c r="F603" s="1"/>
      <c r="G603" s="1"/>
      <c r="H603" s="1"/>
      <c r="I603" s="1"/>
      <c r="R603"/>
      <c r="S603"/>
      <c r="T603"/>
      <c r="U603"/>
      <c r="V603"/>
      <c r="W603"/>
      <c r="X603"/>
      <c r="Y603"/>
      <c r="Z603"/>
      <c r="AA603"/>
      <c r="AJ603"/>
      <c r="AL603"/>
      <c r="AM603"/>
      <c r="AN603"/>
      <c r="AO603"/>
      <c r="AP603"/>
      <c r="AQ603"/>
      <c r="AR603"/>
      <c r="AS603"/>
      <c r="AT603"/>
      <c r="AU603"/>
      <c r="AV603"/>
      <c r="AW603"/>
      <c r="AX603"/>
      <c r="AY603"/>
      <c r="AZ603"/>
      <c r="BA603"/>
      <c r="BB603"/>
      <c r="BC603"/>
      <c r="BD603"/>
      <c r="BE603"/>
      <c r="BF603"/>
      <c r="BG603"/>
      <c r="BH603"/>
      <c r="BI603"/>
      <c r="BJ603"/>
      <c r="BK603"/>
      <c r="BL603"/>
      <c r="BM603"/>
      <c r="BN603"/>
      <c r="BO603"/>
      <c r="BP603"/>
      <c r="BQ603"/>
      <c r="BR603"/>
      <c r="BS603"/>
      <c r="BT603"/>
      <c r="BU603"/>
      <c r="BV603"/>
      <c r="BW603"/>
      <c r="BX603"/>
      <c r="BY603"/>
      <c r="BZ603"/>
      <c r="CA603"/>
      <c r="CB603"/>
      <c r="CC603"/>
      <c r="CD603"/>
      <c r="CE603"/>
      <c r="CF603"/>
      <c r="CG603"/>
    </row>
    <row r="604" spans="4:85" ht="15">
      <c r="D604" s="1"/>
      <c r="E604" s="1"/>
      <c r="F604" s="1"/>
      <c r="G604" s="1"/>
      <c r="H604" s="1"/>
      <c r="I604" s="1"/>
      <c r="R604"/>
      <c r="S604"/>
      <c r="T604"/>
      <c r="U604"/>
      <c r="V604"/>
      <c r="W604"/>
      <c r="X604"/>
      <c r="Y604"/>
      <c r="Z604"/>
      <c r="AA604"/>
      <c r="AJ604"/>
      <c r="AL604"/>
      <c r="AM604"/>
      <c r="AN604"/>
      <c r="AO604"/>
      <c r="AP604"/>
      <c r="AQ604"/>
      <c r="AR604"/>
      <c r="AS604"/>
      <c r="AT604"/>
      <c r="AU604"/>
      <c r="AV604"/>
      <c r="AW604"/>
      <c r="AX604"/>
      <c r="AY604"/>
      <c r="AZ604"/>
      <c r="BA604"/>
      <c r="BB604"/>
      <c r="BC604"/>
      <c r="BD604"/>
      <c r="BE604"/>
      <c r="BF604"/>
      <c r="BG604"/>
      <c r="BH604"/>
      <c r="BI604"/>
      <c r="BJ604"/>
      <c r="BK604"/>
      <c r="BL604"/>
      <c r="BM604"/>
      <c r="BN604"/>
      <c r="BO604"/>
      <c r="BP604"/>
      <c r="BQ604"/>
      <c r="BR604"/>
      <c r="BS604"/>
      <c r="BT604"/>
      <c r="BU604"/>
      <c r="BV604"/>
      <c r="BW604"/>
      <c r="BX604"/>
      <c r="BY604"/>
      <c r="BZ604"/>
      <c r="CA604"/>
      <c r="CB604"/>
      <c r="CC604"/>
      <c r="CD604"/>
      <c r="CE604"/>
      <c r="CF604"/>
      <c r="CG604"/>
    </row>
    <row r="605" spans="4:85" ht="15">
      <c r="D605" s="1"/>
      <c r="E605" s="1"/>
      <c r="F605" s="1"/>
      <c r="G605" s="1"/>
      <c r="H605" s="1"/>
      <c r="I605" s="1"/>
      <c r="R605"/>
      <c r="S605"/>
      <c r="T605"/>
      <c r="U605"/>
      <c r="V605"/>
      <c r="W605"/>
      <c r="X605"/>
      <c r="Y605"/>
      <c r="Z605"/>
      <c r="AA605"/>
      <c r="AJ605"/>
      <c r="AL605"/>
      <c r="AM605"/>
      <c r="AN605"/>
      <c r="AO605"/>
      <c r="AP605"/>
      <c r="AQ605"/>
      <c r="AR605"/>
      <c r="AS605"/>
      <c r="AT605"/>
      <c r="AU605"/>
      <c r="AV605"/>
      <c r="AW605"/>
      <c r="AX605"/>
      <c r="AY605"/>
      <c r="AZ605"/>
      <c r="BA605"/>
      <c r="BB605"/>
      <c r="BC605"/>
      <c r="BD605"/>
      <c r="BE605"/>
      <c r="BF605"/>
      <c r="BG605"/>
      <c r="BH605"/>
      <c r="BI605"/>
      <c r="BJ605"/>
      <c r="BK605"/>
      <c r="BL605"/>
      <c r="BM605"/>
      <c r="BN605"/>
      <c r="BO605"/>
      <c r="BP605"/>
      <c r="BQ605"/>
      <c r="BR605"/>
      <c r="BS605"/>
      <c r="BT605"/>
      <c r="BU605"/>
      <c r="BV605"/>
      <c r="BW605"/>
      <c r="BX605"/>
      <c r="BY605"/>
      <c r="BZ605"/>
      <c r="CA605"/>
      <c r="CB605"/>
      <c r="CC605"/>
      <c r="CD605"/>
      <c r="CE605"/>
      <c r="CF605"/>
      <c r="CG605"/>
    </row>
    <row r="606" spans="4:85" ht="15">
      <c r="D606" s="1"/>
      <c r="E606" s="1"/>
      <c r="F606" s="1"/>
      <c r="G606" s="1"/>
      <c r="H606" s="1"/>
      <c r="I606" s="1"/>
      <c r="R606"/>
      <c r="S606"/>
      <c r="T606"/>
      <c r="U606"/>
      <c r="V606"/>
      <c r="W606"/>
      <c r="X606"/>
      <c r="Y606"/>
      <c r="Z606"/>
      <c r="AA606"/>
      <c r="AJ606"/>
      <c r="AL606"/>
      <c r="AM606"/>
      <c r="AN606"/>
      <c r="AO606"/>
      <c r="AP606"/>
      <c r="AQ606"/>
      <c r="AR606"/>
      <c r="AS606"/>
      <c r="AT606"/>
      <c r="AU606"/>
      <c r="AV606"/>
      <c r="AW606"/>
      <c r="AX606"/>
      <c r="AY606"/>
      <c r="AZ606"/>
      <c r="BA606"/>
      <c r="BB606"/>
      <c r="BC606"/>
      <c r="BD606"/>
      <c r="BE606"/>
      <c r="BF606"/>
      <c r="BG606"/>
      <c r="BH606"/>
      <c r="BI606"/>
      <c r="BJ606"/>
      <c r="BK606"/>
      <c r="BL606"/>
      <c r="BM606"/>
      <c r="BN606"/>
      <c r="BO606"/>
      <c r="BP606"/>
      <c r="BQ606"/>
      <c r="BR606"/>
      <c r="BS606"/>
      <c r="BT606"/>
      <c r="BU606"/>
      <c r="BV606"/>
      <c r="BW606"/>
      <c r="BX606"/>
      <c r="BY606"/>
      <c r="BZ606"/>
      <c r="CA606"/>
      <c r="CB606"/>
      <c r="CC606"/>
      <c r="CD606"/>
      <c r="CE606"/>
      <c r="CF606"/>
      <c r="CG606"/>
    </row>
    <row r="607" spans="4:85" ht="15">
      <c r="D607" s="1"/>
      <c r="E607" s="1"/>
      <c r="F607" s="1"/>
      <c r="G607" s="1"/>
      <c r="H607" s="1"/>
      <c r="I607" s="1"/>
      <c r="R607"/>
      <c r="S607"/>
      <c r="T607"/>
      <c r="U607"/>
      <c r="V607"/>
      <c r="W607"/>
      <c r="X607"/>
      <c r="Y607"/>
      <c r="Z607"/>
      <c r="AA607"/>
      <c r="AJ607"/>
      <c r="AL607"/>
      <c r="AM607"/>
      <c r="AN607"/>
      <c r="AO607"/>
      <c r="AP607"/>
      <c r="AQ607"/>
      <c r="AR607"/>
      <c r="AS607"/>
      <c r="AT607"/>
      <c r="AU607"/>
      <c r="AV607"/>
      <c r="AW607"/>
      <c r="AX607"/>
      <c r="AY607"/>
      <c r="AZ607"/>
      <c r="BA607"/>
      <c r="BB607"/>
      <c r="BC607"/>
      <c r="BD607"/>
      <c r="BE607"/>
      <c r="BF607"/>
      <c r="BG607"/>
      <c r="BH607"/>
      <c r="BI607"/>
      <c r="BJ607"/>
      <c r="BK607"/>
      <c r="BL607"/>
      <c r="BM607"/>
      <c r="BN607"/>
      <c r="BO607"/>
      <c r="BP607"/>
      <c r="BQ607"/>
      <c r="BR607"/>
      <c r="BS607"/>
      <c r="BT607"/>
      <c r="BU607"/>
      <c r="BV607"/>
      <c r="BW607"/>
      <c r="BX607"/>
      <c r="BY607"/>
      <c r="BZ607"/>
      <c r="CA607"/>
      <c r="CB607"/>
      <c r="CC607"/>
      <c r="CD607"/>
      <c r="CE607"/>
      <c r="CF607"/>
      <c r="CG607"/>
    </row>
    <row r="608" spans="4:85" ht="15">
      <c r="D608" s="1"/>
      <c r="E608" s="1"/>
      <c r="F608" s="1"/>
      <c r="G608" s="1"/>
      <c r="H608" s="1"/>
      <c r="I608" s="1"/>
      <c r="R608"/>
      <c r="S608"/>
      <c r="T608"/>
      <c r="U608"/>
      <c r="V608"/>
      <c r="W608"/>
      <c r="X608"/>
      <c r="Y608"/>
      <c r="Z608"/>
      <c r="AA608"/>
      <c r="AJ608"/>
      <c r="AL608"/>
      <c r="AM608"/>
      <c r="AN608"/>
      <c r="AO608"/>
      <c r="AP608"/>
      <c r="AQ608"/>
      <c r="AR608"/>
      <c r="AS608"/>
      <c r="AT608"/>
      <c r="AU608"/>
      <c r="AV608"/>
      <c r="AW608"/>
      <c r="AX608"/>
      <c r="AY608"/>
      <c r="AZ608"/>
      <c r="BA608"/>
      <c r="BB608"/>
      <c r="BC608"/>
      <c r="BD608"/>
      <c r="BE608"/>
      <c r="BF608"/>
      <c r="BG608"/>
      <c r="BH608"/>
      <c r="BI608"/>
      <c r="BJ608"/>
      <c r="BK608"/>
      <c r="BL608"/>
      <c r="BM608"/>
      <c r="BN608"/>
      <c r="BO608"/>
      <c r="BP608"/>
      <c r="BQ608"/>
      <c r="BR608"/>
      <c r="BS608"/>
      <c r="BT608"/>
      <c r="BU608"/>
      <c r="BV608"/>
      <c r="BW608"/>
      <c r="BX608"/>
      <c r="BY608"/>
      <c r="BZ608"/>
      <c r="CA608"/>
      <c r="CB608"/>
      <c r="CC608"/>
      <c r="CD608"/>
      <c r="CE608"/>
      <c r="CF608"/>
      <c r="CG608"/>
    </row>
    <row r="609" spans="4:85" ht="15">
      <c r="D609" s="1"/>
      <c r="E609" s="1"/>
      <c r="F609" s="1"/>
      <c r="G609" s="1"/>
      <c r="H609" s="1"/>
      <c r="I609" s="1"/>
      <c r="R609"/>
      <c r="S609"/>
      <c r="T609"/>
      <c r="U609"/>
      <c r="V609"/>
      <c r="W609"/>
      <c r="X609"/>
      <c r="Y609"/>
      <c r="Z609"/>
      <c r="AA609"/>
      <c r="AJ609"/>
      <c r="AL609"/>
      <c r="AM609"/>
      <c r="AN609"/>
      <c r="AO609"/>
      <c r="AP609"/>
      <c r="AQ609"/>
      <c r="AR609"/>
      <c r="AS609"/>
      <c r="AT609"/>
      <c r="AU609"/>
      <c r="AV609"/>
      <c r="AW609"/>
      <c r="AX609"/>
      <c r="AY609"/>
      <c r="AZ609"/>
      <c r="BA609"/>
      <c r="BB609"/>
      <c r="BC609"/>
      <c r="BD609"/>
      <c r="BE609"/>
      <c r="BF609"/>
      <c r="BG609"/>
      <c r="BH609"/>
      <c r="BI609"/>
      <c r="BJ609"/>
      <c r="BK609"/>
      <c r="BL609"/>
      <c r="BM609"/>
      <c r="BN609"/>
      <c r="BO609"/>
      <c r="BP609"/>
      <c r="BQ609"/>
      <c r="BR609"/>
      <c r="BS609"/>
      <c r="BT609"/>
      <c r="BU609"/>
      <c r="BV609"/>
      <c r="BW609"/>
      <c r="BX609"/>
      <c r="BY609"/>
      <c r="BZ609"/>
      <c r="CA609"/>
      <c r="CB609"/>
      <c r="CC609"/>
      <c r="CD609"/>
      <c r="CE609"/>
      <c r="CF609"/>
      <c r="CG609"/>
    </row>
    <row r="610" spans="4:85" ht="15">
      <c r="D610" s="1"/>
      <c r="E610" s="1"/>
      <c r="F610" s="1"/>
      <c r="G610" s="1"/>
      <c r="H610" s="1"/>
      <c r="I610" s="1"/>
      <c r="R610"/>
      <c r="S610"/>
      <c r="T610"/>
      <c r="U610"/>
      <c r="V610"/>
      <c r="W610"/>
      <c r="X610"/>
      <c r="Y610"/>
      <c r="Z610"/>
      <c r="AA610"/>
      <c r="AJ610"/>
      <c r="AL610"/>
      <c r="AM610"/>
      <c r="AN610"/>
      <c r="AO610"/>
      <c r="AP610"/>
      <c r="AQ610"/>
      <c r="AR610"/>
      <c r="AS610"/>
      <c r="AT610"/>
      <c r="AU610"/>
      <c r="AV610"/>
      <c r="AW610"/>
      <c r="AX610"/>
      <c r="AY610"/>
      <c r="AZ610"/>
      <c r="BA610"/>
      <c r="BB610"/>
      <c r="BC610"/>
      <c r="BD610"/>
      <c r="BE610"/>
      <c r="BF610"/>
      <c r="BG610"/>
      <c r="BH610"/>
      <c r="BI610"/>
      <c r="BJ610"/>
      <c r="BK610"/>
      <c r="BL610"/>
      <c r="BM610"/>
      <c r="BN610"/>
      <c r="BO610"/>
      <c r="BP610"/>
      <c r="BQ610"/>
      <c r="BR610"/>
      <c r="BS610"/>
      <c r="BT610"/>
      <c r="BU610"/>
      <c r="BV610"/>
      <c r="BW610"/>
      <c r="BX610"/>
      <c r="BY610"/>
      <c r="BZ610"/>
      <c r="CA610"/>
      <c r="CB610"/>
      <c r="CC610"/>
      <c r="CD610"/>
      <c r="CE610"/>
      <c r="CF610"/>
      <c r="CG610"/>
    </row>
    <row r="611" spans="4:85" ht="15">
      <c r="D611" s="1"/>
      <c r="E611" s="1"/>
      <c r="F611" s="1"/>
      <c r="G611" s="1"/>
      <c r="H611" s="1"/>
      <c r="I611" s="1"/>
      <c r="R611"/>
      <c r="S611"/>
      <c r="T611"/>
      <c r="U611"/>
      <c r="V611"/>
      <c r="W611"/>
      <c r="X611"/>
      <c r="Y611"/>
      <c r="Z611"/>
      <c r="AA611"/>
      <c r="AJ611"/>
      <c r="AL611"/>
      <c r="AM611"/>
      <c r="AN611"/>
      <c r="AO611"/>
      <c r="AP611"/>
      <c r="AQ611"/>
      <c r="AR611"/>
      <c r="AS611"/>
      <c r="AT611"/>
      <c r="AU611"/>
      <c r="AV611"/>
      <c r="AW611"/>
      <c r="AX611"/>
      <c r="AY611"/>
      <c r="AZ611"/>
      <c r="BA611"/>
      <c r="BB611"/>
      <c r="BC611"/>
      <c r="BD611"/>
      <c r="BE611"/>
      <c r="BF611"/>
      <c r="BG611"/>
      <c r="BH611"/>
      <c r="BI611"/>
      <c r="BJ611"/>
      <c r="BK611"/>
      <c r="BL611"/>
      <c r="BM611"/>
      <c r="BN611"/>
      <c r="BO611"/>
      <c r="BP611"/>
      <c r="BQ611"/>
      <c r="BR611"/>
      <c r="BS611"/>
      <c r="BT611"/>
      <c r="BU611"/>
      <c r="BV611"/>
      <c r="BW611"/>
      <c r="BX611"/>
      <c r="BY611"/>
      <c r="BZ611"/>
      <c r="CA611"/>
      <c r="CB611"/>
      <c r="CC611"/>
      <c r="CD611"/>
      <c r="CE611"/>
      <c r="CF611"/>
      <c r="CG611"/>
    </row>
    <row r="612" spans="4:85" ht="15">
      <c r="D612" s="1"/>
      <c r="E612" s="1"/>
      <c r="F612" s="1"/>
      <c r="G612" s="1"/>
      <c r="H612" s="1"/>
      <c r="I612" s="1"/>
      <c r="R612"/>
      <c r="S612"/>
      <c r="T612"/>
      <c r="U612"/>
      <c r="V612"/>
      <c r="W612"/>
      <c r="X612"/>
      <c r="Y612"/>
      <c r="Z612"/>
      <c r="AA612"/>
      <c r="AJ612"/>
      <c r="AL612"/>
      <c r="AM612"/>
      <c r="AN612"/>
      <c r="AO612"/>
      <c r="AP612"/>
      <c r="AQ612"/>
      <c r="AR612"/>
      <c r="AS612"/>
      <c r="AT612"/>
      <c r="AU612"/>
      <c r="AV612"/>
      <c r="AW612"/>
      <c r="AX612"/>
      <c r="AY612"/>
      <c r="AZ612"/>
      <c r="BA612"/>
      <c r="BB612"/>
      <c r="BC612"/>
      <c r="BD612"/>
      <c r="BE612"/>
      <c r="BF612"/>
      <c r="BG612"/>
      <c r="BH612"/>
      <c r="BI612"/>
      <c r="BJ612"/>
      <c r="BK612"/>
      <c r="BL612"/>
      <c r="BM612"/>
      <c r="BN612"/>
      <c r="BO612"/>
      <c r="BP612"/>
      <c r="BQ612"/>
      <c r="BR612"/>
      <c r="BS612"/>
      <c r="BT612"/>
      <c r="BU612"/>
      <c r="BV612"/>
      <c r="BW612"/>
      <c r="BX612"/>
      <c r="BY612"/>
      <c r="BZ612"/>
      <c r="CA612"/>
      <c r="CB612"/>
      <c r="CC612"/>
      <c r="CD612"/>
      <c r="CE612"/>
      <c r="CF612"/>
      <c r="CG612"/>
    </row>
    <row r="613" spans="4:85" ht="15">
      <c r="D613" s="1"/>
      <c r="E613" s="1"/>
      <c r="F613" s="1"/>
      <c r="G613" s="1"/>
      <c r="H613" s="1"/>
      <c r="I613" s="1"/>
      <c r="R613"/>
      <c r="S613"/>
      <c r="T613"/>
      <c r="U613"/>
      <c r="V613"/>
      <c r="W613"/>
      <c r="X613"/>
      <c r="Y613"/>
      <c r="Z613"/>
      <c r="AA613"/>
      <c r="AJ613"/>
      <c r="AL613"/>
      <c r="AM613"/>
      <c r="AN613"/>
      <c r="AO613"/>
      <c r="AP613"/>
      <c r="AQ613"/>
      <c r="AR613"/>
      <c r="AS613"/>
      <c r="AT613"/>
      <c r="AU613"/>
      <c r="AV613"/>
      <c r="AW613"/>
      <c r="AX613"/>
      <c r="AY613"/>
      <c r="AZ613"/>
      <c r="BA613"/>
      <c r="BB613"/>
      <c r="BC613"/>
      <c r="BD613"/>
      <c r="BE613"/>
      <c r="BF613"/>
      <c r="BG613"/>
      <c r="BH613"/>
      <c r="BI613"/>
      <c r="BJ613"/>
      <c r="BK613"/>
      <c r="BL613"/>
      <c r="BM613"/>
      <c r="BN613"/>
      <c r="BO613"/>
      <c r="BP613"/>
      <c r="BQ613"/>
      <c r="BR613"/>
      <c r="BS613"/>
      <c r="BT613"/>
      <c r="BU613"/>
      <c r="BV613"/>
      <c r="BW613"/>
      <c r="BX613"/>
      <c r="BY613"/>
      <c r="BZ613"/>
      <c r="CA613"/>
      <c r="CB613"/>
      <c r="CC613"/>
      <c r="CD613"/>
      <c r="CE613"/>
      <c r="CF613"/>
      <c r="CG613"/>
    </row>
    <row r="614" spans="4:85" ht="15">
      <c r="D614" s="1"/>
      <c r="E614" s="1"/>
      <c r="F614" s="1"/>
      <c r="G614" s="1"/>
      <c r="H614" s="1"/>
      <c r="I614" s="1"/>
      <c r="R614"/>
      <c r="S614"/>
      <c r="T614"/>
      <c r="U614"/>
      <c r="V614"/>
      <c r="W614"/>
      <c r="X614"/>
      <c r="Y614"/>
      <c r="Z614"/>
      <c r="AA614"/>
      <c r="AJ614"/>
      <c r="AL614"/>
      <c r="AM614"/>
      <c r="AN614"/>
      <c r="AO614"/>
      <c r="AP614"/>
      <c r="AQ614"/>
      <c r="AR614"/>
      <c r="AS614"/>
      <c r="AT614"/>
      <c r="AU614"/>
      <c r="AV614"/>
      <c r="AW614"/>
      <c r="AX614"/>
      <c r="AY614"/>
      <c r="AZ614"/>
      <c r="BA614"/>
      <c r="BB614"/>
      <c r="BC614"/>
      <c r="BD614"/>
      <c r="BE614"/>
      <c r="BF614"/>
      <c r="BG614"/>
      <c r="BH614"/>
      <c r="BI614"/>
      <c r="BJ614"/>
      <c r="BK614"/>
      <c r="BL614"/>
      <c r="BM614"/>
      <c r="BN614"/>
      <c r="BO614"/>
      <c r="BP614"/>
      <c r="BQ614"/>
      <c r="BR614"/>
      <c r="BS614"/>
      <c r="BT614"/>
      <c r="BU614"/>
      <c r="BV614"/>
      <c r="BW614"/>
      <c r="BX614"/>
      <c r="BY614"/>
      <c r="BZ614"/>
      <c r="CA614"/>
      <c r="CB614"/>
      <c r="CC614"/>
      <c r="CD614"/>
      <c r="CE614"/>
      <c r="CF614"/>
      <c r="CG614"/>
    </row>
    <row r="615" spans="4:85" ht="15">
      <c r="D615" s="1"/>
      <c r="E615" s="1"/>
      <c r="F615" s="1"/>
      <c r="G615" s="1"/>
      <c r="H615" s="1"/>
      <c r="I615" s="1"/>
      <c r="R615"/>
      <c r="S615"/>
      <c r="T615"/>
      <c r="U615"/>
      <c r="V615"/>
      <c r="W615"/>
      <c r="X615"/>
      <c r="Y615"/>
      <c r="Z615"/>
      <c r="AA615"/>
      <c r="AJ615"/>
      <c r="AL615"/>
      <c r="AM615"/>
      <c r="AN615"/>
      <c r="AO615"/>
      <c r="AP615"/>
      <c r="AQ615"/>
      <c r="AR615"/>
      <c r="AS615"/>
      <c r="AT615"/>
      <c r="AU615"/>
      <c r="AV615"/>
      <c r="AW615"/>
      <c r="AX615"/>
      <c r="AY615"/>
      <c r="AZ615"/>
      <c r="BA615"/>
      <c r="BB615"/>
      <c r="BC615"/>
      <c r="BD615"/>
      <c r="BE615"/>
      <c r="BF615"/>
      <c r="BG615"/>
      <c r="BH615"/>
      <c r="BI615"/>
      <c r="BJ615"/>
      <c r="BK615"/>
      <c r="BL615"/>
      <c r="BM615"/>
      <c r="BN615"/>
      <c r="BO615"/>
      <c r="BP615"/>
      <c r="BQ615"/>
      <c r="BR615"/>
      <c r="BS615"/>
      <c r="BT615"/>
      <c r="BU615"/>
      <c r="BV615"/>
      <c r="BW615"/>
      <c r="BX615"/>
      <c r="BY615"/>
      <c r="BZ615"/>
      <c r="CA615"/>
      <c r="CB615"/>
      <c r="CC615"/>
      <c r="CD615"/>
      <c r="CE615"/>
      <c r="CF615"/>
      <c r="CG615"/>
    </row>
    <row r="616" spans="4:85" ht="15">
      <c r="D616" s="1"/>
      <c r="E616" s="1"/>
      <c r="F616" s="1"/>
      <c r="G616" s="1"/>
      <c r="H616" s="1"/>
      <c r="I616" s="1"/>
      <c r="R616"/>
      <c r="S616"/>
      <c r="T616"/>
      <c r="U616"/>
      <c r="V616"/>
      <c r="W616"/>
      <c r="X616"/>
      <c r="Y616"/>
      <c r="Z616"/>
      <c r="AA616"/>
      <c r="AJ616"/>
      <c r="AL616"/>
      <c r="AM616"/>
      <c r="AN616"/>
      <c r="AO616"/>
      <c r="AP616"/>
      <c r="AQ616"/>
      <c r="AR616"/>
      <c r="AS616"/>
      <c r="AT616"/>
      <c r="AU616"/>
      <c r="AV616"/>
      <c r="AW616"/>
      <c r="AX616"/>
      <c r="AY616"/>
      <c r="AZ616"/>
      <c r="BA616"/>
      <c r="BB616"/>
      <c r="BC616"/>
      <c r="BD616"/>
      <c r="BE616"/>
      <c r="BF616"/>
      <c r="BG616"/>
      <c r="BH616"/>
      <c r="BI616"/>
      <c r="BJ616"/>
      <c r="BK616"/>
      <c r="BL616"/>
      <c r="BM616"/>
      <c r="BN616"/>
      <c r="BO616"/>
      <c r="BP616"/>
      <c r="BQ616"/>
      <c r="BR616"/>
      <c r="BS616"/>
      <c r="BT616"/>
      <c r="BU616"/>
      <c r="BV616"/>
      <c r="BW616"/>
      <c r="BX616"/>
      <c r="BY616"/>
      <c r="BZ616"/>
      <c r="CA616"/>
      <c r="CB616"/>
      <c r="CC616"/>
      <c r="CD616"/>
      <c r="CE616"/>
      <c r="CF616"/>
      <c r="CG616"/>
    </row>
    <row r="617" spans="4:85" ht="15">
      <c r="D617" s="1"/>
      <c r="E617" s="1"/>
      <c r="F617" s="1"/>
      <c r="G617" s="1"/>
      <c r="H617" s="1"/>
      <c r="I617" s="1"/>
      <c r="R617"/>
      <c r="S617"/>
      <c r="T617"/>
      <c r="U617"/>
      <c r="V617"/>
      <c r="W617"/>
      <c r="X617"/>
      <c r="Y617"/>
      <c r="Z617"/>
      <c r="AA617"/>
      <c r="AJ617"/>
      <c r="AL617"/>
      <c r="AM617"/>
      <c r="AN617"/>
      <c r="AO617"/>
      <c r="AP617"/>
      <c r="AQ617"/>
      <c r="AR617"/>
      <c r="AS617"/>
      <c r="AT617"/>
      <c r="AU617"/>
      <c r="AV617"/>
      <c r="AW617"/>
      <c r="AX617"/>
      <c r="AY617"/>
      <c r="AZ617"/>
      <c r="BA617"/>
      <c r="BB617"/>
      <c r="BC617"/>
      <c r="BD617"/>
      <c r="BE617"/>
      <c r="BF617"/>
      <c r="BG617"/>
      <c r="BH617"/>
      <c r="BI617"/>
      <c r="BJ617"/>
      <c r="BK617"/>
      <c r="BL617"/>
      <c r="BM617"/>
      <c r="BN617"/>
      <c r="BO617"/>
      <c r="BP617"/>
      <c r="BQ617"/>
      <c r="BR617"/>
      <c r="BS617"/>
      <c r="BT617"/>
      <c r="BU617"/>
      <c r="BV617"/>
      <c r="BW617"/>
      <c r="BX617"/>
      <c r="BY617"/>
      <c r="BZ617"/>
      <c r="CA617"/>
      <c r="CB617"/>
      <c r="CC617"/>
      <c r="CD617"/>
      <c r="CE617"/>
      <c r="CF617"/>
      <c r="CG617"/>
    </row>
    <row r="618" spans="4:85" ht="15">
      <c r="D618" s="1"/>
      <c r="E618" s="1"/>
      <c r="F618" s="1"/>
      <c r="G618" s="1"/>
      <c r="H618" s="1"/>
      <c r="I618" s="1"/>
      <c r="R618"/>
      <c r="S618"/>
      <c r="T618"/>
      <c r="U618"/>
      <c r="V618"/>
      <c r="W618"/>
      <c r="X618"/>
      <c r="Y618"/>
      <c r="Z618"/>
      <c r="AA618"/>
      <c r="AJ618"/>
      <c r="AL618"/>
      <c r="AM618"/>
      <c r="AN618"/>
      <c r="AO618"/>
      <c r="AP618"/>
      <c r="AQ618"/>
      <c r="AR618"/>
      <c r="AS618"/>
      <c r="AT618"/>
      <c r="AU618"/>
      <c r="AV618"/>
      <c r="AW618"/>
      <c r="AX618"/>
      <c r="AY618"/>
      <c r="AZ618"/>
      <c r="BA618"/>
      <c r="BB618"/>
      <c r="BC618"/>
      <c r="BD618"/>
      <c r="BE618"/>
      <c r="BF618"/>
      <c r="BG618"/>
      <c r="BH618"/>
      <c r="BI618"/>
      <c r="BJ618"/>
      <c r="BK618"/>
      <c r="BL618"/>
      <c r="BM618"/>
      <c r="BN618"/>
      <c r="BO618"/>
      <c r="BP618"/>
      <c r="BQ618"/>
      <c r="BR618"/>
      <c r="BS618"/>
      <c r="BT618"/>
      <c r="BU618"/>
      <c r="BV618"/>
      <c r="BW618"/>
      <c r="BX618"/>
      <c r="BY618"/>
      <c r="BZ618"/>
      <c r="CA618"/>
      <c r="CB618"/>
      <c r="CC618"/>
      <c r="CD618"/>
      <c r="CE618"/>
      <c r="CF618"/>
      <c r="CG618"/>
    </row>
    <row r="619" spans="4:85" ht="15">
      <c r="D619" s="1"/>
      <c r="E619" s="1"/>
      <c r="F619" s="1"/>
      <c r="G619" s="1"/>
      <c r="H619" s="1"/>
      <c r="I619" s="1"/>
      <c r="R619"/>
      <c r="S619"/>
      <c r="T619"/>
      <c r="U619"/>
      <c r="V619"/>
      <c r="W619"/>
      <c r="X619"/>
      <c r="Y619"/>
      <c r="Z619"/>
      <c r="AA619"/>
      <c r="AJ619"/>
      <c r="AL619"/>
      <c r="AM619"/>
      <c r="AN619"/>
      <c r="AO619"/>
      <c r="AP619"/>
      <c r="AQ619"/>
      <c r="AR619"/>
      <c r="AS619"/>
      <c r="AT619"/>
      <c r="AU619"/>
      <c r="AV619"/>
      <c r="AW619"/>
      <c r="AX619"/>
      <c r="AY619"/>
      <c r="AZ619"/>
      <c r="BA619"/>
      <c r="BB619"/>
      <c r="BC619"/>
      <c r="BD619"/>
      <c r="BE619"/>
      <c r="BF619"/>
      <c r="BG619"/>
      <c r="BH619"/>
      <c r="BI619"/>
      <c r="BJ619"/>
      <c r="BK619"/>
      <c r="BL619"/>
      <c r="BM619"/>
      <c r="BN619"/>
      <c r="BO619"/>
      <c r="BP619"/>
      <c r="BQ619"/>
      <c r="BR619"/>
      <c r="BS619"/>
      <c r="BT619"/>
      <c r="BU619"/>
      <c r="BV619"/>
      <c r="BW619"/>
      <c r="BX619"/>
      <c r="BY619"/>
      <c r="BZ619"/>
      <c r="CA619"/>
      <c r="CB619"/>
      <c r="CC619"/>
      <c r="CD619"/>
      <c r="CE619"/>
      <c r="CF619"/>
      <c r="CG619"/>
    </row>
    <row r="620" spans="4:85" ht="15">
      <c r="D620" s="1"/>
      <c r="E620" s="1"/>
      <c r="F620" s="1"/>
      <c r="G620" s="1"/>
      <c r="H620" s="1"/>
      <c r="I620" s="1"/>
      <c r="R620"/>
      <c r="S620"/>
      <c r="T620"/>
      <c r="U620"/>
      <c r="V620"/>
      <c r="W620"/>
      <c r="X620"/>
      <c r="Y620"/>
      <c r="Z620"/>
      <c r="AA620"/>
      <c r="AJ620"/>
      <c r="AL620"/>
      <c r="AM620"/>
      <c r="AN620"/>
      <c r="AO620"/>
      <c r="AP620"/>
      <c r="AQ620"/>
      <c r="AR620"/>
      <c r="AS620"/>
      <c r="AT620"/>
      <c r="AU620"/>
      <c r="AV620"/>
      <c r="AW620"/>
      <c r="AX620"/>
      <c r="AY620"/>
      <c r="AZ620"/>
      <c r="BA620"/>
      <c r="BB620"/>
      <c r="BC620"/>
      <c r="BD620"/>
      <c r="BE620"/>
      <c r="BF620"/>
      <c r="BG620"/>
      <c r="BH620"/>
      <c r="BI620"/>
      <c r="BJ620"/>
      <c r="BK620"/>
      <c r="BL620"/>
      <c r="BM620"/>
      <c r="BN620"/>
      <c r="BO620"/>
      <c r="BP620"/>
      <c r="BQ620"/>
      <c r="BR620"/>
      <c r="BS620"/>
      <c r="BT620"/>
      <c r="BU620"/>
      <c r="BV620"/>
      <c r="BW620"/>
      <c r="BX620"/>
      <c r="BY620"/>
      <c r="BZ620"/>
      <c r="CA620"/>
      <c r="CB620"/>
      <c r="CC620"/>
      <c r="CD620"/>
      <c r="CE620"/>
      <c r="CF620"/>
      <c r="CG620"/>
    </row>
    <row r="621" spans="4:85" ht="15">
      <c r="D621" s="1"/>
      <c r="E621" s="1"/>
      <c r="F621" s="1"/>
      <c r="G621" s="1"/>
      <c r="H621" s="1"/>
      <c r="I621" s="1"/>
      <c r="R621"/>
      <c r="S621"/>
      <c r="T621"/>
      <c r="U621"/>
      <c r="V621"/>
      <c r="W621"/>
      <c r="X621"/>
      <c r="Y621"/>
      <c r="Z621"/>
      <c r="AA621"/>
      <c r="AJ621"/>
      <c r="AL621"/>
      <c r="AM621"/>
      <c r="AN621"/>
      <c r="AO621"/>
      <c r="AP621"/>
      <c r="AQ621"/>
      <c r="AR621"/>
      <c r="AS621"/>
      <c r="AT621"/>
      <c r="AU621"/>
      <c r="AV621"/>
      <c r="AW621"/>
      <c r="AX621"/>
      <c r="AY621"/>
      <c r="AZ621"/>
      <c r="BA621"/>
      <c r="BB621"/>
      <c r="BC621"/>
      <c r="BD621"/>
      <c r="BE621"/>
      <c r="BF621"/>
      <c r="BG621"/>
      <c r="BH621"/>
      <c r="BI621"/>
      <c r="BJ621"/>
      <c r="BK621"/>
      <c r="BL621"/>
      <c r="BM621"/>
      <c r="BN621"/>
      <c r="BO621"/>
      <c r="BP621"/>
      <c r="BQ621"/>
      <c r="BR621"/>
      <c r="BS621"/>
      <c r="BT621"/>
      <c r="BU621"/>
      <c r="BV621"/>
      <c r="BW621"/>
      <c r="BX621"/>
      <c r="BY621"/>
      <c r="BZ621"/>
      <c r="CA621"/>
      <c r="CB621"/>
      <c r="CC621"/>
      <c r="CD621"/>
      <c r="CE621"/>
      <c r="CF621"/>
      <c r="CG621"/>
    </row>
    <row r="622" spans="4:85" ht="15">
      <c r="D622" s="1"/>
      <c r="E622" s="1"/>
      <c r="F622" s="1"/>
      <c r="G622" s="1"/>
      <c r="H622" s="1"/>
      <c r="I622" s="1"/>
      <c r="R622"/>
      <c r="S622"/>
      <c r="T622"/>
      <c r="U622"/>
      <c r="V622"/>
      <c r="W622"/>
      <c r="X622"/>
      <c r="Y622"/>
      <c r="Z622"/>
      <c r="AA622"/>
      <c r="AJ622"/>
      <c r="AL622"/>
      <c r="AM622"/>
      <c r="AN622"/>
      <c r="AO622"/>
      <c r="AP622"/>
      <c r="AQ622"/>
      <c r="AR622"/>
      <c r="AS622"/>
      <c r="AT622"/>
      <c r="AU622"/>
      <c r="AV622"/>
      <c r="AW622"/>
      <c r="AX622"/>
      <c r="AY622"/>
      <c r="AZ622"/>
      <c r="BA622"/>
      <c r="BB622"/>
      <c r="BC622"/>
      <c r="BD622"/>
      <c r="BE622"/>
      <c r="BF622"/>
      <c r="BG622"/>
      <c r="BH622"/>
      <c r="BI622"/>
      <c r="BJ622"/>
      <c r="BK622"/>
      <c r="BL622"/>
      <c r="BM622"/>
      <c r="BN622"/>
      <c r="BO622"/>
      <c r="BP622"/>
      <c r="BQ622"/>
      <c r="BR622"/>
      <c r="BS622"/>
      <c r="BT622"/>
      <c r="BU622"/>
      <c r="BV622"/>
      <c r="BW622"/>
      <c r="BX622"/>
      <c r="BY622"/>
      <c r="BZ622"/>
      <c r="CA622"/>
      <c r="CB622"/>
      <c r="CC622"/>
      <c r="CD622"/>
      <c r="CE622"/>
      <c r="CF622"/>
      <c r="CG622"/>
    </row>
    <row r="623" spans="4:85" ht="15">
      <c r="D623" s="1"/>
      <c r="E623" s="1"/>
      <c r="F623" s="1"/>
      <c r="G623" s="1"/>
      <c r="H623" s="1"/>
      <c r="I623" s="1"/>
      <c r="R623"/>
      <c r="S623"/>
      <c r="T623"/>
      <c r="U623"/>
      <c r="V623"/>
      <c r="W623"/>
      <c r="X623"/>
      <c r="Y623"/>
      <c r="Z623"/>
      <c r="AA623"/>
      <c r="AJ623"/>
      <c r="AL623"/>
      <c r="AM623"/>
      <c r="AN623"/>
      <c r="AO623"/>
      <c r="AP623"/>
      <c r="AQ623"/>
      <c r="AR623"/>
      <c r="AS623"/>
      <c r="AT623"/>
      <c r="AU623"/>
      <c r="AV623"/>
      <c r="AW623"/>
      <c r="AX623"/>
      <c r="AY623"/>
      <c r="AZ623"/>
      <c r="BA623"/>
      <c r="BB623"/>
      <c r="BC623"/>
      <c r="BD623"/>
      <c r="BE623"/>
      <c r="BF623"/>
      <c r="BG623"/>
      <c r="BH623"/>
      <c r="BI623"/>
      <c r="BJ623"/>
      <c r="BK623"/>
      <c r="BL623"/>
      <c r="BM623"/>
      <c r="BN623"/>
      <c r="BO623"/>
      <c r="BP623"/>
      <c r="BQ623"/>
      <c r="BR623"/>
      <c r="BS623"/>
      <c r="BT623"/>
      <c r="BU623"/>
      <c r="BV623"/>
      <c r="BW623"/>
      <c r="BX623"/>
      <c r="BY623"/>
      <c r="BZ623"/>
      <c r="CA623"/>
      <c r="CB623"/>
      <c r="CC623"/>
      <c r="CD623"/>
      <c r="CE623"/>
      <c r="CF623"/>
      <c r="CG623"/>
    </row>
    <row r="624" spans="4:85" ht="15">
      <c r="D624" s="1"/>
      <c r="E624" s="1"/>
      <c r="F624" s="1"/>
      <c r="G624" s="1"/>
      <c r="H624" s="1"/>
      <c r="I624" s="1"/>
      <c r="R624"/>
      <c r="S624"/>
      <c r="T624"/>
      <c r="U624"/>
      <c r="V624"/>
      <c r="W624"/>
      <c r="X624"/>
      <c r="Y624"/>
      <c r="Z624"/>
      <c r="AA624"/>
      <c r="AJ624"/>
      <c r="AL624"/>
      <c r="AM624"/>
      <c r="AN624"/>
      <c r="AO624"/>
      <c r="AP624"/>
      <c r="AQ624"/>
      <c r="AR624"/>
      <c r="AS624"/>
      <c r="AT624"/>
      <c r="AU624"/>
      <c r="AV624"/>
      <c r="AW624"/>
      <c r="AX624"/>
      <c r="AY624"/>
      <c r="AZ624"/>
      <c r="BA624"/>
      <c r="BB624"/>
      <c r="BC624"/>
      <c r="BD624"/>
      <c r="BE624"/>
      <c r="BF624"/>
      <c r="BG624"/>
      <c r="BH624"/>
      <c r="BI624"/>
      <c r="BJ624"/>
      <c r="BK624"/>
      <c r="BL624"/>
      <c r="BM624"/>
      <c r="BN624"/>
      <c r="BO624"/>
      <c r="BP624"/>
      <c r="BQ624"/>
      <c r="BR624"/>
      <c r="BS624"/>
      <c r="BT624"/>
      <c r="BU624"/>
      <c r="BV624"/>
      <c r="BW624"/>
      <c r="BX624"/>
      <c r="BY624"/>
      <c r="BZ624"/>
      <c r="CA624"/>
      <c r="CB624"/>
      <c r="CC624"/>
      <c r="CD624"/>
      <c r="CE624"/>
      <c r="CF624"/>
      <c r="CG624"/>
    </row>
    <row r="625" spans="4:85" ht="15">
      <c r="D625" s="1"/>
      <c r="E625" s="1"/>
      <c r="F625" s="1"/>
      <c r="G625" s="1"/>
      <c r="H625" s="1"/>
      <c r="I625" s="1"/>
      <c r="R625"/>
      <c r="S625"/>
      <c r="T625"/>
      <c r="U625"/>
      <c r="V625"/>
      <c r="W625"/>
      <c r="X625"/>
      <c r="Y625"/>
      <c r="Z625"/>
      <c r="AA625"/>
      <c r="AJ625"/>
      <c r="AL625"/>
      <c r="AM625"/>
      <c r="AN625"/>
      <c r="AO625"/>
      <c r="AP625"/>
      <c r="AQ625"/>
      <c r="AR625"/>
      <c r="AS625"/>
      <c r="AT625"/>
      <c r="AU625"/>
      <c r="AV625"/>
      <c r="AW625"/>
      <c r="AX625"/>
      <c r="AY625"/>
      <c r="AZ625"/>
      <c r="BA625"/>
      <c r="BB625"/>
      <c r="BC625"/>
      <c r="BD625"/>
      <c r="BE625"/>
      <c r="BF625"/>
      <c r="BG625"/>
      <c r="BH625"/>
      <c r="BI625"/>
      <c r="BJ625"/>
      <c r="BK625"/>
      <c r="BL625"/>
      <c r="BM625"/>
      <c r="BN625"/>
      <c r="BO625"/>
      <c r="BP625"/>
      <c r="BQ625"/>
      <c r="BR625"/>
      <c r="BS625"/>
      <c r="BT625"/>
      <c r="BU625"/>
      <c r="BV625"/>
      <c r="BW625"/>
      <c r="BX625"/>
      <c r="BY625"/>
      <c r="BZ625"/>
      <c r="CA625"/>
      <c r="CB625"/>
      <c r="CC625"/>
      <c r="CD625"/>
      <c r="CE625"/>
      <c r="CF625"/>
      <c r="CG625"/>
    </row>
    <row r="626" spans="4:85" ht="15">
      <c r="D626" s="1"/>
      <c r="E626" s="1"/>
      <c r="F626" s="1"/>
      <c r="G626" s="1"/>
      <c r="H626" s="1"/>
      <c r="I626" s="1"/>
      <c r="R626"/>
      <c r="S626"/>
      <c r="T626"/>
      <c r="U626"/>
      <c r="V626"/>
      <c r="W626"/>
      <c r="X626"/>
      <c r="Y626"/>
      <c r="Z626"/>
      <c r="AA626"/>
      <c r="AJ626"/>
      <c r="AL626"/>
      <c r="AM626"/>
      <c r="AN626"/>
      <c r="AO626"/>
      <c r="AP626"/>
      <c r="AQ626"/>
      <c r="AR626"/>
      <c r="AS626"/>
      <c r="AT626"/>
      <c r="AU626"/>
      <c r="AV626"/>
      <c r="AW626"/>
      <c r="AX626"/>
      <c r="AY626"/>
      <c r="AZ626"/>
      <c r="BA626"/>
      <c r="BB626"/>
      <c r="BC626"/>
      <c r="BD626"/>
      <c r="BE626"/>
      <c r="BF626"/>
      <c r="BG626"/>
      <c r="BH626"/>
      <c r="BI626"/>
      <c r="BJ626"/>
      <c r="BK626"/>
      <c r="BL626"/>
      <c r="BM626"/>
      <c r="BN626"/>
      <c r="BO626"/>
      <c r="BP626"/>
      <c r="BQ626"/>
      <c r="BR626"/>
      <c r="BS626"/>
      <c r="BT626"/>
      <c r="BU626"/>
      <c r="BV626"/>
      <c r="BW626"/>
      <c r="BX626"/>
      <c r="BY626"/>
      <c r="BZ626"/>
      <c r="CA626"/>
      <c r="CB626"/>
      <c r="CC626"/>
      <c r="CD626"/>
      <c r="CE626"/>
      <c r="CF626"/>
      <c r="CG626"/>
    </row>
    <row r="627" spans="4:85" ht="15">
      <c r="D627" s="1"/>
      <c r="E627" s="1"/>
      <c r="F627" s="1"/>
      <c r="G627" s="1"/>
      <c r="H627" s="1"/>
      <c r="I627" s="1"/>
      <c r="R627"/>
      <c r="S627"/>
      <c r="T627"/>
      <c r="U627"/>
      <c r="V627"/>
      <c r="W627"/>
      <c r="X627"/>
      <c r="Y627"/>
      <c r="Z627"/>
      <c r="AA627"/>
      <c r="AJ627"/>
      <c r="AL627"/>
      <c r="AM627"/>
      <c r="AN627"/>
      <c r="AO627"/>
      <c r="AP627"/>
      <c r="AQ627"/>
      <c r="AR627"/>
      <c r="AS627"/>
      <c r="AT627"/>
      <c r="AU627"/>
      <c r="AV627"/>
      <c r="AW627"/>
      <c r="AX627"/>
      <c r="AY627"/>
      <c r="AZ627"/>
      <c r="BA627"/>
      <c r="BB627"/>
      <c r="BC627"/>
      <c r="BD627"/>
      <c r="BE627"/>
      <c r="BF627"/>
      <c r="BG627"/>
      <c r="BH627"/>
      <c r="BI627"/>
      <c r="BJ627"/>
      <c r="BK627"/>
      <c r="BL627"/>
      <c r="BM627"/>
      <c r="BN627"/>
      <c r="BO627"/>
      <c r="BP627"/>
      <c r="BQ627"/>
      <c r="BR627"/>
      <c r="BS627"/>
      <c r="BT627"/>
      <c r="BU627"/>
      <c r="BV627"/>
      <c r="BW627"/>
      <c r="BX627"/>
      <c r="BY627"/>
      <c r="BZ627"/>
      <c r="CA627"/>
      <c r="CB627"/>
      <c r="CC627"/>
      <c r="CD627"/>
      <c r="CE627"/>
      <c r="CF627"/>
      <c r="CG627"/>
    </row>
    <row r="628" spans="4:85" ht="15">
      <c r="D628" s="1"/>
      <c r="E628" s="1"/>
      <c r="F628" s="1"/>
      <c r="G628" s="1"/>
      <c r="H628" s="1"/>
      <c r="I628" s="1"/>
      <c r="R628"/>
      <c r="S628"/>
      <c r="T628"/>
      <c r="U628"/>
      <c r="V628"/>
      <c r="W628"/>
      <c r="X628"/>
      <c r="Y628"/>
      <c r="Z628"/>
      <c r="AA628"/>
      <c r="AJ628"/>
      <c r="AL628"/>
      <c r="AM628"/>
      <c r="AN628"/>
      <c r="AO628"/>
      <c r="AP628"/>
      <c r="AQ628"/>
      <c r="AR628"/>
      <c r="AS628"/>
      <c r="AT628"/>
      <c r="AU628"/>
      <c r="AV628"/>
      <c r="AW628"/>
      <c r="AX628"/>
      <c r="AY628"/>
      <c r="AZ628"/>
      <c r="BA628"/>
      <c r="BB628"/>
      <c r="BC628"/>
      <c r="BD628"/>
      <c r="BE628"/>
      <c r="BF628"/>
      <c r="BG628"/>
      <c r="BH628"/>
      <c r="BI628"/>
      <c r="BJ628"/>
      <c r="BK628"/>
      <c r="BL628"/>
      <c r="BM628"/>
      <c r="BN628"/>
      <c r="BO628"/>
      <c r="BP628"/>
      <c r="BQ628"/>
      <c r="BR628"/>
      <c r="BS628"/>
      <c r="BT628"/>
      <c r="BU628"/>
      <c r="BV628"/>
      <c r="BW628"/>
      <c r="BX628"/>
      <c r="BY628"/>
      <c r="BZ628"/>
      <c r="CA628"/>
      <c r="CB628"/>
      <c r="CC628"/>
      <c r="CD628"/>
      <c r="CE628"/>
      <c r="CF628"/>
      <c r="CG628"/>
    </row>
    <row r="629" spans="4:85" ht="15">
      <c r="D629" s="1"/>
      <c r="E629" s="1"/>
      <c r="F629" s="1"/>
      <c r="G629" s="1"/>
      <c r="H629" s="1"/>
      <c r="I629" s="1"/>
      <c r="R629"/>
      <c r="S629"/>
      <c r="T629"/>
      <c r="U629"/>
      <c r="V629"/>
      <c r="W629"/>
      <c r="X629"/>
      <c r="Y629"/>
      <c r="Z629"/>
      <c r="AA629"/>
      <c r="AJ629"/>
      <c r="AL629"/>
      <c r="AM629"/>
      <c r="AN629"/>
      <c r="AO629"/>
      <c r="AP629"/>
      <c r="AQ629"/>
      <c r="AR629"/>
      <c r="AS629"/>
      <c r="AT629"/>
      <c r="AU629"/>
      <c r="AV629"/>
      <c r="AW629"/>
      <c r="AX629"/>
      <c r="AY629"/>
      <c r="AZ629"/>
      <c r="BA629"/>
      <c r="BB629"/>
      <c r="BC629"/>
      <c r="BD629"/>
      <c r="BE629"/>
      <c r="BF629"/>
      <c r="BG629"/>
      <c r="BH629"/>
      <c r="BI629"/>
      <c r="BJ629"/>
      <c r="BK629"/>
      <c r="BL629"/>
      <c r="BM629"/>
      <c r="BN629"/>
      <c r="BO629"/>
      <c r="BP629"/>
      <c r="BQ629"/>
      <c r="BR629"/>
      <c r="BS629"/>
      <c r="BT629"/>
      <c r="BU629"/>
      <c r="BV629"/>
      <c r="BW629"/>
      <c r="BX629"/>
      <c r="BY629"/>
      <c r="BZ629"/>
      <c r="CA629"/>
      <c r="CB629"/>
      <c r="CC629"/>
      <c r="CD629"/>
      <c r="CE629"/>
      <c r="CF629"/>
      <c r="CG629"/>
    </row>
    <row r="630" spans="4:85" ht="15">
      <c r="D630" s="1"/>
      <c r="E630" s="1"/>
      <c r="F630" s="1"/>
      <c r="G630" s="1"/>
      <c r="H630" s="1"/>
      <c r="I630" s="1"/>
      <c r="R630"/>
      <c r="S630"/>
      <c r="T630"/>
      <c r="U630"/>
      <c r="V630"/>
      <c r="W630"/>
      <c r="X630"/>
      <c r="Y630"/>
      <c r="Z630"/>
      <c r="AA630"/>
      <c r="AJ630"/>
      <c r="AL630"/>
      <c r="AM630"/>
      <c r="AN630"/>
      <c r="AO630"/>
      <c r="AP630"/>
      <c r="AQ630"/>
      <c r="AR630"/>
      <c r="AS630"/>
      <c r="AT630"/>
      <c r="AU630"/>
      <c r="AV630"/>
      <c r="AW630"/>
      <c r="AX630"/>
      <c r="AY630"/>
      <c r="AZ630"/>
      <c r="BA630"/>
      <c r="BB630"/>
      <c r="BC630"/>
      <c r="BD630"/>
      <c r="BE630"/>
      <c r="BF630"/>
      <c r="BG630"/>
      <c r="BH630"/>
      <c r="BI630"/>
      <c r="BJ630"/>
      <c r="BK630"/>
      <c r="BL630"/>
      <c r="BM630"/>
      <c r="BN630"/>
      <c r="BO630"/>
      <c r="BP630"/>
      <c r="BQ630"/>
      <c r="BR630"/>
      <c r="BS630"/>
      <c r="BT630"/>
      <c r="BU630"/>
      <c r="BV630"/>
      <c r="BW630"/>
      <c r="BX630"/>
      <c r="BY630"/>
      <c r="BZ630"/>
      <c r="CA630"/>
      <c r="CB630"/>
      <c r="CC630"/>
      <c r="CD630"/>
      <c r="CE630"/>
      <c r="CF630"/>
      <c r="CG630"/>
    </row>
    <row r="631" spans="4:85" ht="15">
      <c r="D631" s="1"/>
      <c r="E631" s="1"/>
      <c r="F631" s="1"/>
      <c r="G631" s="1"/>
      <c r="H631" s="1"/>
      <c r="I631" s="1"/>
      <c r="R631"/>
      <c r="S631"/>
      <c r="T631"/>
      <c r="U631"/>
      <c r="V631"/>
      <c r="W631"/>
      <c r="X631"/>
      <c r="Y631"/>
      <c r="Z631"/>
      <c r="AA631"/>
      <c r="AJ631"/>
      <c r="AL631"/>
      <c r="AM631"/>
      <c r="AN631"/>
      <c r="AO631"/>
      <c r="AP631"/>
      <c r="AQ631"/>
      <c r="AR631"/>
      <c r="AS631"/>
      <c r="AT631"/>
      <c r="AU631"/>
      <c r="AV631"/>
      <c r="AW631"/>
      <c r="AX631"/>
      <c r="AY631"/>
      <c r="AZ631"/>
      <c r="BA631"/>
      <c r="BB631"/>
      <c r="BC631"/>
      <c r="BD631"/>
      <c r="BE631"/>
      <c r="BF631"/>
      <c r="BG631"/>
      <c r="BH631"/>
      <c r="BI631"/>
      <c r="BJ631"/>
      <c r="BK631"/>
      <c r="BL631"/>
      <c r="BM631"/>
      <c r="BN631"/>
      <c r="BO631"/>
      <c r="BP631"/>
      <c r="BQ631"/>
      <c r="BR631"/>
      <c r="BS631"/>
      <c r="BT631"/>
      <c r="BU631"/>
      <c r="BV631"/>
      <c r="BW631"/>
      <c r="BX631"/>
      <c r="BY631"/>
      <c r="BZ631"/>
      <c r="CA631"/>
      <c r="CB631"/>
      <c r="CC631"/>
      <c r="CD631"/>
      <c r="CE631"/>
      <c r="CF631"/>
      <c r="CG631"/>
    </row>
    <row r="632" spans="4:85" ht="15">
      <c r="D632" s="1"/>
      <c r="E632" s="1"/>
      <c r="F632" s="1"/>
      <c r="G632" s="1"/>
      <c r="H632" s="1"/>
      <c r="I632" s="1"/>
      <c r="R632"/>
      <c r="S632"/>
      <c r="T632"/>
      <c r="U632"/>
      <c r="V632"/>
      <c r="W632"/>
      <c r="X632"/>
      <c r="Y632"/>
      <c r="Z632"/>
      <c r="AA632"/>
      <c r="AJ632"/>
      <c r="AL632"/>
      <c r="AM632"/>
      <c r="AN632"/>
      <c r="AO632"/>
      <c r="AP632"/>
      <c r="AQ632"/>
      <c r="AR632"/>
      <c r="AS632"/>
      <c r="AT632"/>
      <c r="AU632"/>
      <c r="AV632"/>
      <c r="AW632"/>
      <c r="AX632"/>
      <c r="AY632"/>
      <c r="AZ632"/>
      <c r="BA632"/>
      <c r="BB632"/>
      <c r="BC632"/>
      <c r="BD632"/>
      <c r="BE632"/>
      <c r="BF632"/>
      <c r="BG632"/>
      <c r="BH632"/>
      <c r="BI632"/>
      <c r="BJ632"/>
      <c r="BK632"/>
      <c r="BL632"/>
      <c r="BM632"/>
      <c r="BN632"/>
      <c r="BO632"/>
      <c r="BP632"/>
      <c r="BQ632"/>
      <c r="BR632"/>
      <c r="BS632"/>
      <c r="BT632"/>
      <c r="BU632"/>
      <c r="BV632"/>
      <c r="BW632"/>
      <c r="BX632"/>
      <c r="BY632"/>
      <c r="BZ632"/>
      <c r="CA632"/>
      <c r="CB632"/>
      <c r="CC632"/>
      <c r="CD632"/>
      <c r="CE632"/>
      <c r="CF632"/>
      <c r="CG632"/>
    </row>
    <row r="633" spans="4:85" ht="15">
      <c r="D633" s="1"/>
      <c r="E633" s="1"/>
      <c r="F633" s="1"/>
      <c r="G633" s="1"/>
      <c r="H633" s="1"/>
      <c r="I633" s="1"/>
      <c r="R633"/>
      <c r="S633"/>
      <c r="T633"/>
      <c r="U633"/>
      <c r="V633"/>
      <c r="W633"/>
      <c r="X633"/>
      <c r="Y633"/>
      <c r="Z633"/>
      <c r="AA633"/>
      <c r="AJ633"/>
      <c r="AL633"/>
      <c r="AM633"/>
      <c r="AN633"/>
      <c r="AO633"/>
      <c r="AP633"/>
      <c r="AQ633"/>
      <c r="AR633"/>
      <c r="AS633"/>
      <c r="AT633"/>
      <c r="AU633"/>
      <c r="AV633"/>
      <c r="AW633"/>
      <c r="AX633"/>
      <c r="AY633"/>
      <c r="AZ633"/>
      <c r="BA633"/>
      <c r="BB633"/>
      <c r="BC633"/>
      <c r="BD633"/>
      <c r="BE633"/>
      <c r="BF633"/>
      <c r="BG633"/>
      <c r="BH633"/>
      <c r="BI633"/>
      <c r="BJ633"/>
      <c r="BK633"/>
      <c r="BL633"/>
      <c r="BM633"/>
      <c r="BN633"/>
      <c r="BO633"/>
      <c r="BP633"/>
      <c r="BQ633"/>
      <c r="BR633"/>
      <c r="BS633"/>
      <c r="BT633"/>
      <c r="BU633"/>
      <c r="BV633"/>
      <c r="BW633"/>
      <c r="BX633"/>
      <c r="BY633"/>
      <c r="BZ633"/>
      <c r="CA633"/>
      <c r="CB633"/>
      <c r="CC633"/>
      <c r="CD633"/>
      <c r="CE633"/>
      <c r="CF633"/>
      <c r="CG633"/>
    </row>
    <row r="634" spans="4:85" ht="15">
      <c r="D634" s="1"/>
      <c r="E634" s="1"/>
      <c r="F634" s="1"/>
      <c r="G634" s="1"/>
      <c r="H634" s="1"/>
      <c r="I634" s="1"/>
      <c r="R634"/>
      <c r="S634"/>
      <c r="T634"/>
      <c r="U634"/>
      <c r="V634"/>
      <c r="W634"/>
      <c r="X634"/>
      <c r="Y634"/>
      <c r="Z634"/>
      <c r="AA634"/>
      <c r="AJ634"/>
      <c r="AL634"/>
      <c r="AM634"/>
      <c r="AN634"/>
      <c r="AO634"/>
      <c r="AP634"/>
      <c r="AQ634"/>
      <c r="AR634"/>
      <c r="AS634"/>
      <c r="AT634"/>
      <c r="AU634"/>
      <c r="AV634"/>
      <c r="AW634"/>
      <c r="AX634"/>
      <c r="AY634"/>
      <c r="AZ634"/>
      <c r="BA634"/>
      <c r="BB634"/>
      <c r="BC634"/>
      <c r="BD634"/>
      <c r="BE634"/>
      <c r="BF634"/>
      <c r="BG634"/>
      <c r="BH634"/>
      <c r="BI634"/>
      <c r="BJ634"/>
      <c r="BK634"/>
      <c r="BL634"/>
      <c r="BM634"/>
      <c r="BN634"/>
      <c r="BO634"/>
      <c r="BP634"/>
      <c r="BQ634"/>
      <c r="BR634"/>
      <c r="BS634"/>
      <c r="BT634"/>
      <c r="BU634"/>
      <c r="BV634"/>
      <c r="BW634"/>
      <c r="BX634"/>
      <c r="BY634"/>
      <c r="BZ634"/>
      <c r="CA634"/>
      <c r="CB634"/>
      <c r="CC634"/>
      <c r="CD634"/>
      <c r="CE634"/>
      <c r="CF634"/>
      <c r="CG634"/>
    </row>
    <row r="635" spans="4:85" ht="15">
      <c r="D635" s="1"/>
      <c r="E635" s="1"/>
      <c r="F635" s="1"/>
      <c r="G635" s="1"/>
      <c r="H635" s="1"/>
      <c r="I635" s="1"/>
      <c r="R635"/>
      <c r="S635"/>
      <c r="T635"/>
      <c r="U635"/>
      <c r="V635"/>
      <c r="W635"/>
      <c r="X635"/>
      <c r="Y635"/>
      <c r="Z635"/>
      <c r="AA635"/>
      <c r="AJ635"/>
      <c r="AL635"/>
      <c r="AM635"/>
      <c r="AN635"/>
      <c r="AO635"/>
      <c r="AP635"/>
      <c r="AQ635"/>
      <c r="AR635"/>
      <c r="AS635"/>
      <c r="AT635"/>
      <c r="AU635"/>
      <c r="AV635"/>
      <c r="AW635"/>
      <c r="AX635"/>
      <c r="AY635"/>
      <c r="AZ635"/>
      <c r="BA635"/>
      <c r="BB635"/>
      <c r="BC635"/>
      <c r="BD635"/>
      <c r="BE635"/>
      <c r="BF635"/>
      <c r="BG635"/>
      <c r="BH635"/>
      <c r="BI635"/>
      <c r="BJ635"/>
      <c r="BK635"/>
      <c r="BL635"/>
      <c r="BM635"/>
      <c r="BN635"/>
      <c r="BO635"/>
      <c r="BP635"/>
      <c r="BQ635"/>
      <c r="BR635"/>
      <c r="BS635"/>
      <c r="BT635"/>
      <c r="BU635"/>
      <c r="BV635"/>
      <c r="BW635"/>
      <c r="BX635"/>
      <c r="BY635"/>
      <c r="BZ635"/>
      <c r="CA635"/>
      <c r="CB635"/>
      <c r="CC635"/>
      <c r="CD635"/>
      <c r="CE635"/>
      <c r="CF635"/>
      <c r="CG635"/>
    </row>
    <row r="636" spans="4:85" ht="15">
      <c r="D636" s="1"/>
      <c r="E636" s="1"/>
      <c r="F636" s="1"/>
      <c r="G636" s="1"/>
      <c r="H636" s="1"/>
      <c r="I636" s="1"/>
      <c r="R636"/>
      <c r="S636"/>
      <c r="T636"/>
      <c r="U636"/>
      <c r="V636"/>
      <c r="W636"/>
      <c r="X636"/>
      <c r="Y636"/>
      <c r="Z636"/>
      <c r="AA636"/>
      <c r="AJ636"/>
      <c r="AL636"/>
      <c r="AM636"/>
      <c r="AN636"/>
      <c r="AO636"/>
      <c r="AP636"/>
      <c r="AQ636"/>
      <c r="AR636"/>
      <c r="AS636"/>
      <c r="AT636"/>
      <c r="AU636"/>
      <c r="AV636"/>
      <c r="AW636"/>
      <c r="AX636"/>
      <c r="AY636"/>
      <c r="AZ636"/>
      <c r="BA636"/>
      <c r="BB636"/>
      <c r="BC636"/>
      <c r="BD636"/>
      <c r="BE636"/>
      <c r="BF636"/>
      <c r="BG636"/>
      <c r="BH636"/>
      <c r="BI636"/>
      <c r="BJ636"/>
      <c r="BK636"/>
      <c r="BL636"/>
      <c r="BM636"/>
      <c r="BN636"/>
      <c r="BO636"/>
      <c r="BP636"/>
      <c r="BQ636"/>
      <c r="BR636"/>
      <c r="BS636"/>
      <c r="BT636"/>
      <c r="BU636"/>
      <c r="BV636"/>
      <c r="BW636"/>
      <c r="BX636"/>
      <c r="BY636"/>
      <c r="BZ636"/>
      <c r="CA636"/>
      <c r="CB636"/>
      <c r="CC636"/>
      <c r="CD636"/>
      <c r="CE636"/>
      <c r="CF636"/>
      <c r="CG636"/>
    </row>
    <row r="637" spans="4:85" ht="15">
      <c r="D637" s="1"/>
      <c r="E637" s="1"/>
      <c r="F637" s="1"/>
      <c r="G637" s="1"/>
      <c r="H637" s="1"/>
      <c r="I637" s="1"/>
      <c r="R637"/>
      <c r="S637"/>
      <c r="T637"/>
      <c r="U637"/>
      <c r="V637"/>
      <c r="W637"/>
      <c r="X637"/>
      <c r="Y637"/>
      <c r="Z637"/>
      <c r="AA637"/>
      <c r="AJ637"/>
      <c r="AL637"/>
      <c r="AM637"/>
      <c r="AN637"/>
      <c r="AO637"/>
      <c r="AP637"/>
      <c r="AQ637"/>
      <c r="AR637"/>
      <c r="AS637"/>
      <c r="AT637"/>
      <c r="AU637"/>
      <c r="AV637"/>
      <c r="AW637"/>
      <c r="AX637"/>
      <c r="AY637"/>
      <c r="AZ637"/>
      <c r="BA637"/>
      <c r="BB637"/>
      <c r="BC637"/>
      <c r="BD637"/>
      <c r="BE637"/>
      <c r="BF637"/>
      <c r="BG637"/>
      <c r="BH637"/>
      <c r="BI637"/>
      <c r="BJ637"/>
      <c r="BK637"/>
      <c r="BL637"/>
      <c r="BM637"/>
      <c r="BN637"/>
      <c r="BO637"/>
      <c r="BP637"/>
      <c r="BQ637"/>
      <c r="BR637"/>
      <c r="BS637"/>
      <c r="BT637"/>
      <c r="BU637"/>
      <c r="BV637"/>
      <c r="BW637"/>
      <c r="BX637"/>
      <c r="BY637"/>
      <c r="BZ637"/>
      <c r="CA637"/>
      <c r="CB637"/>
      <c r="CC637"/>
      <c r="CD637"/>
      <c r="CE637"/>
      <c r="CF637"/>
      <c r="CG637"/>
    </row>
    <row r="638" spans="4:85" ht="15">
      <c r="D638" s="1"/>
      <c r="E638" s="1"/>
      <c r="F638" s="1"/>
      <c r="G638" s="1"/>
      <c r="H638" s="1"/>
      <c r="I638" s="1"/>
      <c r="R638"/>
      <c r="S638"/>
      <c r="T638"/>
      <c r="U638"/>
      <c r="V638"/>
      <c r="W638"/>
      <c r="X638"/>
      <c r="Y638"/>
      <c r="Z638"/>
      <c r="AA638"/>
      <c r="AJ638"/>
      <c r="AL638"/>
      <c r="AM638"/>
      <c r="AN638"/>
      <c r="AO638"/>
      <c r="AP638"/>
      <c r="AQ638"/>
      <c r="AR638"/>
      <c r="AS638"/>
      <c r="AT638"/>
      <c r="AU638"/>
      <c r="AV638"/>
      <c r="AW638"/>
      <c r="AX638"/>
      <c r="AY638"/>
      <c r="AZ638"/>
      <c r="BA638"/>
      <c r="BB638"/>
      <c r="BC638"/>
      <c r="BD638"/>
      <c r="BE638"/>
      <c r="BF638"/>
      <c r="BG638"/>
      <c r="BH638"/>
      <c r="BI638"/>
      <c r="BJ638"/>
      <c r="BK638"/>
      <c r="BL638"/>
      <c r="BM638"/>
      <c r="BN638"/>
      <c r="BO638"/>
      <c r="BP638"/>
      <c r="BQ638"/>
      <c r="BR638"/>
      <c r="BS638"/>
      <c r="BT638"/>
      <c r="BU638"/>
      <c r="BV638"/>
      <c r="BW638"/>
      <c r="BX638"/>
      <c r="BY638"/>
      <c r="BZ638"/>
      <c r="CA638"/>
      <c r="CB638"/>
      <c r="CC638"/>
      <c r="CD638"/>
      <c r="CE638"/>
      <c r="CF638"/>
      <c r="CG638"/>
    </row>
    <row r="639" spans="4:85" ht="15">
      <c r="D639" s="1"/>
      <c r="E639" s="1"/>
      <c r="F639" s="1"/>
      <c r="G639" s="1"/>
      <c r="H639" s="1"/>
      <c r="I639" s="1"/>
      <c r="R639"/>
      <c r="S639"/>
      <c r="T639"/>
      <c r="U639"/>
      <c r="V639"/>
      <c r="W639"/>
      <c r="X639"/>
      <c r="Y639"/>
      <c r="Z639"/>
      <c r="AA639"/>
      <c r="AJ639"/>
      <c r="AL639"/>
      <c r="AM639"/>
      <c r="AN639"/>
      <c r="AO639"/>
      <c r="AP639"/>
      <c r="AQ639"/>
      <c r="AR639"/>
      <c r="AS639"/>
      <c r="AT639"/>
      <c r="AU639"/>
      <c r="AV639"/>
      <c r="AW639"/>
      <c r="AX639"/>
      <c r="AY639"/>
      <c r="AZ639"/>
      <c r="BA639"/>
      <c r="BB639"/>
      <c r="BC639"/>
      <c r="BD639"/>
      <c r="BE639"/>
      <c r="BF639"/>
      <c r="BG639"/>
      <c r="BH639"/>
      <c r="BI639"/>
      <c r="BJ639"/>
      <c r="BK639"/>
      <c r="BL639"/>
      <c r="BM639"/>
      <c r="BN639"/>
      <c r="BO639"/>
      <c r="BP639"/>
      <c r="BQ639"/>
      <c r="BR639"/>
      <c r="BS639"/>
      <c r="BT639"/>
      <c r="BU639"/>
      <c r="BV639"/>
      <c r="BW639"/>
      <c r="BX639"/>
      <c r="BY639"/>
      <c r="BZ639"/>
      <c r="CA639"/>
      <c r="CB639"/>
      <c r="CC639"/>
      <c r="CD639"/>
      <c r="CE639"/>
      <c r="CF639"/>
      <c r="CG639"/>
    </row>
    <row r="640" spans="4:85" ht="15">
      <c r="D640" s="1"/>
      <c r="E640" s="1"/>
      <c r="F640" s="1"/>
      <c r="G640" s="1"/>
      <c r="H640" s="1"/>
      <c r="I640" s="1"/>
      <c r="R640"/>
      <c r="S640"/>
      <c r="T640"/>
      <c r="U640"/>
      <c r="V640"/>
      <c r="W640"/>
      <c r="X640"/>
      <c r="Y640"/>
      <c r="Z640"/>
      <c r="AA640"/>
      <c r="AJ640"/>
      <c r="AL640"/>
      <c r="AM640"/>
      <c r="AN640"/>
      <c r="AO640"/>
      <c r="AP640"/>
      <c r="AQ640"/>
      <c r="AR640"/>
      <c r="AS640"/>
      <c r="AT640"/>
      <c r="AU640"/>
      <c r="AV640"/>
      <c r="AW640"/>
      <c r="AX640"/>
      <c r="AY640"/>
      <c r="AZ640"/>
      <c r="BA640"/>
      <c r="BB640"/>
      <c r="BC640"/>
      <c r="BD640"/>
      <c r="BE640"/>
      <c r="BF640"/>
      <c r="BG640"/>
      <c r="BH640"/>
      <c r="BI640"/>
      <c r="BJ640"/>
      <c r="BK640"/>
      <c r="BL640"/>
      <c r="BM640"/>
      <c r="BN640"/>
      <c r="BO640"/>
      <c r="BP640"/>
      <c r="BQ640"/>
      <c r="BR640"/>
      <c r="BS640"/>
      <c r="BT640"/>
      <c r="BU640"/>
      <c r="BV640"/>
      <c r="BW640"/>
      <c r="BX640"/>
      <c r="BY640"/>
      <c r="BZ640"/>
      <c r="CA640"/>
      <c r="CB640"/>
      <c r="CC640"/>
      <c r="CD640"/>
      <c r="CE640"/>
      <c r="CF640"/>
      <c r="CG640"/>
    </row>
    <row r="641" spans="4:85" ht="15">
      <c r="D641" s="1"/>
      <c r="E641" s="1"/>
      <c r="F641" s="1"/>
      <c r="G641" s="1"/>
      <c r="H641" s="1"/>
      <c r="I641" s="1"/>
      <c r="R641"/>
      <c r="S641"/>
      <c r="T641"/>
      <c r="U641"/>
      <c r="V641"/>
      <c r="W641"/>
      <c r="X641"/>
      <c r="Y641"/>
      <c r="Z641"/>
      <c r="AA641"/>
      <c r="AJ641"/>
      <c r="AL641"/>
      <c r="AM641"/>
      <c r="AN641"/>
      <c r="AO641"/>
      <c r="AP641"/>
      <c r="AQ641"/>
      <c r="AR641"/>
      <c r="AS641"/>
      <c r="AT641"/>
      <c r="AU641"/>
      <c r="AV641"/>
      <c r="AW641"/>
      <c r="AX641"/>
      <c r="AY641"/>
      <c r="AZ641"/>
      <c r="BA641"/>
      <c r="BB641"/>
      <c r="BC641"/>
      <c r="BD641"/>
      <c r="BE641"/>
      <c r="BF641"/>
      <c r="BG641"/>
      <c r="BH641"/>
      <c r="BI641"/>
      <c r="BJ641"/>
      <c r="BK641"/>
      <c r="BL641"/>
      <c r="BM641"/>
      <c r="BN641"/>
      <c r="BO641"/>
      <c r="BP641"/>
      <c r="BQ641"/>
      <c r="BR641"/>
      <c r="BS641"/>
      <c r="BT641"/>
      <c r="BU641"/>
      <c r="BV641"/>
      <c r="BW641"/>
      <c r="BX641"/>
      <c r="BY641"/>
      <c r="BZ641"/>
      <c r="CA641"/>
      <c r="CB641"/>
      <c r="CC641"/>
      <c r="CD641"/>
      <c r="CE641"/>
      <c r="CF641"/>
      <c r="CG641"/>
    </row>
    <row r="642" spans="4:85" ht="15">
      <c r="D642" s="1"/>
      <c r="E642" s="1"/>
      <c r="F642" s="1"/>
      <c r="G642" s="1"/>
      <c r="H642" s="1"/>
      <c r="I642" s="1"/>
      <c r="R642"/>
      <c r="S642"/>
      <c r="T642"/>
      <c r="U642"/>
      <c r="V642"/>
      <c r="W642"/>
      <c r="X642"/>
      <c r="Y642"/>
      <c r="Z642"/>
      <c r="AA642"/>
      <c r="AJ642"/>
      <c r="AL642"/>
      <c r="AM642"/>
      <c r="AN642"/>
      <c r="AO642"/>
      <c r="AP642"/>
      <c r="AQ642"/>
      <c r="AR642"/>
      <c r="AS642"/>
      <c r="AT642"/>
      <c r="AU642"/>
      <c r="AV642"/>
      <c r="AW642"/>
      <c r="AX642"/>
      <c r="AY642"/>
      <c r="AZ642"/>
      <c r="BA642"/>
      <c r="BB642"/>
      <c r="BC642"/>
      <c r="BD642"/>
      <c r="BE642"/>
      <c r="BF642"/>
      <c r="BG642"/>
      <c r="BH642"/>
      <c r="BI642"/>
      <c r="BJ642"/>
      <c r="BK642"/>
      <c r="BL642"/>
      <c r="BM642"/>
      <c r="BN642"/>
      <c r="BO642"/>
      <c r="BP642"/>
      <c r="BQ642"/>
      <c r="BR642"/>
      <c r="BS642"/>
      <c r="BT642"/>
      <c r="BU642"/>
      <c r="BV642"/>
      <c r="BW642"/>
      <c r="BX642"/>
      <c r="BY642"/>
      <c r="BZ642"/>
      <c r="CA642"/>
      <c r="CB642"/>
      <c r="CC642"/>
      <c r="CD642"/>
      <c r="CE642"/>
      <c r="CF642"/>
      <c r="CG642"/>
    </row>
    <row r="643" spans="4:85" ht="15">
      <c r="D643" s="1"/>
      <c r="E643" s="1"/>
      <c r="F643" s="1"/>
      <c r="G643" s="1"/>
      <c r="H643" s="1"/>
      <c r="I643" s="1"/>
      <c r="R643"/>
      <c r="S643"/>
      <c r="T643"/>
      <c r="U643"/>
      <c r="V643"/>
      <c r="W643"/>
      <c r="X643"/>
      <c r="Y643"/>
      <c r="Z643"/>
      <c r="AA643"/>
      <c r="AJ643"/>
      <c r="AL643"/>
      <c r="AM643"/>
      <c r="AN643"/>
      <c r="AO643"/>
      <c r="AP643"/>
      <c r="AQ643"/>
      <c r="AR643"/>
      <c r="AS643"/>
      <c r="AT643"/>
      <c r="AU643"/>
      <c r="AV643"/>
      <c r="AW643"/>
      <c r="AX643"/>
      <c r="AY643"/>
      <c r="AZ643"/>
      <c r="BA643"/>
      <c r="BB643"/>
      <c r="BC643"/>
      <c r="BD643"/>
      <c r="BE643"/>
      <c r="BF643"/>
      <c r="BG643"/>
      <c r="BH643"/>
      <c r="BI643"/>
      <c r="BJ643"/>
      <c r="BK643"/>
      <c r="BL643"/>
      <c r="BM643"/>
      <c r="BN643"/>
      <c r="BO643"/>
      <c r="BP643"/>
      <c r="BQ643"/>
      <c r="BR643"/>
      <c r="BS643"/>
      <c r="BT643"/>
      <c r="BU643"/>
      <c r="BV643"/>
      <c r="BW643"/>
      <c r="BX643"/>
      <c r="BY643"/>
      <c r="BZ643"/>
      <c r="CA643"/>
      <c r="CB643"/>
      <c r="CC643"/>
      <c r="CD643"/>
      <c r="CE643"/>
      <c r="CF643"/>
      <c r="CG643"/>
    </row>
    <row r="644" spans="4:85" ht="15">
      <c r="D644" s="1"/>
      <c r="E644" s="1"/>
      <c r="F644" s="1"/>
      <c r="G644" s="1"/>
      <c r="H644" s="1"/>
      <c r="I644" s="1"/>
      <c r="R644"/>
      <c r="S644"/>
      <c r="T644"/>
      <c r="U644"/>
      <c r="V644"/>
      <c r="W644"/>
      <c r="X644"/>
      <c r="Y644"/>
      <c r="Z644"/>
      <c r="AA644"/>
      <c r="AJ644"/>
      <c r="AL644"/>
      <c r="AM644"/>
      <c r="AN644"/>
      <c r="AO644"/>
      <c r="AP644"/>
      <c r="AQ644"/>
      <c r="AR644"/>
      <c r="AS644"/>
      <c r="AT644"/>
      <c r="AU644"/>
      <c r="AV644"/>
      <c r="AW644"/>
      <c r="AX644"/>
      <c r="AY644"/>
      <c r="AZ644"/>
      <c r="BA644"/>
      <c r="BB644"/>
      <c r="BC644"/>
      <c r="BD644"/>
      <c r="BE644"/>
      <c r="BF644"/>
      <c r="BG644"/>
      <c r="BH644"/>
      <c r="BI644"/>
      <c r="BJ644"/>
      <c r="BK644"/>
      <c r="BL644"/>
      <c r="BM644"/>
      <c r="BN644"/>
      <c r="BO644"/>
      <c r="BP644"/>
      <c r="BQ644"/>
      <c r="BR644"/>
      <c r="BS644"/>
      <c r="BT644"/>
      <c r="BU644"/>
      <c r="BV644"/>
      <c r="BW644"/>
      <c r="BX644"/>
      <c r="BY644"/>
      <c r="BZ644"/>
      <c r="CA644"/>
      <c r="CB644"/>
      <c r="CC644"/>
      <c r="CD644"/>
      <c r="CE644"/>
      <c r="CF644"/>
      <c r="CG644"/>
    </row>
    <row r="645" spans="4:85" ht="15">
      <c r="D645" s="1"/>
      <c r="E645" s="1"/>
      <c r="F645" s="1"/>
      <c r="G645" s="1"/>
      <c r="H645" s="1"/>
      <c r="I645" s="1"/>
      <c r="R645"/>
      <c r="S645"/>
      <c r="T645"/>
      <c r="U645"/>
      <c r="V645"/>
      <c r="W645"/>
      <c r="X645"/>
      <c r="Y645"/>
      <c r="Z645"/>
      <c r="AA645"/>
      <c r="AJ645"/>
      <c r="AL645"/>
      <c r="AM645"/>
      <c r="AN645"/>
      <c r="AO645"/>
      <c r="AP645"/>
      <c r="AQ645"/>
      <c r="AR645"/>
      <c r="AS645"/>
      <c r="AT645"/>
      <c r="AU645"/>
      <c r="AV645"/>
      <c r="AW645"/>
      <c r="AX645"/>
      <c r="AY645"/>
      <c r="AZ645"/>
      <c r="BA645"/>
      <c r="BB645"/>
      <c r="BC645"/>
      <c r="BD645"/>
      <c r="BE645"/>
      <c r="BF645"/>
      <c r="BG645"/>
      <c r="BH645"/>
      <c r="BI645"/>
      <c r="BJ645"/>
      <c r="BK645"/>
      <c r="BL645"/>
      <c r="BM645"/>
      <c r="BN645"/>
      <c r="BO645"/>
      <c r="BP645"/>
      <c r="BQ645"/>
      <c r="BR645"/>
      <c r="BS645"/>
      <c r="BT645"/>
      <c r="BU645"/>
      <c r="BV645"/>
      <c r="BW645"/>
      <c r="BX645"/>
      <c r="BY645"/>
      <c r="BZ645"/>
      <c r="CA645"/>
      <c r="CB645"/>
      <c r="CC645"/>
      <c r="CD645"/>
      <c r="CE645"/>
      <c r="CF645"/>
      <c r="CG645"/>
    </row>
    <row r="646" spans="4:85" ht="15">
      <c r="D646" s="1"/>
      <c r="E646" s="1"/>
      <c r="F646" s="1"/>
      <c r="G646" s="1"/>
      <c r="H646" s="1"/>
      <c r="I646" s="1"/>
      <c r="R646"/>
      <c r="S646"/>
      <c r="T646"/>
      <c r="U646"/>
      <c r="V646"/>
      <c r="W646"/>
      <c r="X646"/>
      <c r="Y646"/>
      <c r="Z646"/>
      <c r="AA646"/>
      <c r="AJ646"/>
      <c r="AL646"/>
      <c r="AM646"/>
      <c r="AN646"/>
      <c r="AO646"/>
      <c r="AP646"/>
      <c r="AQ646"/>
      <c r="AR646"/>
      <c r="AS646"/>
      <c r="AT646"/>
      <c r="AU646"/>
      <c r="AV646"/>
      <c r="AW646"/>
      <c r="AX646"/>
      <c r="AY646"/>
      <c r="AZ646"/>
      <c r="BA646"/>
      <c r="BB646"/>
      <c r="BC646"/>
      <c r="BD646"/>
      <c r="BE646"/>
      <c r="BF646"/>
      <c r="BG646"/>
      <c r="BH646"/>
      <c r="BI646"/>
      <c r="BJ646"/>
      <c r="BK646"/>
      <c r="BL646"/>
      <c r="BM646"/>
      <c r="BN646"/>
      <c r="BO646"/>
      <c r="BP646"/>
      <c r="BQ646"/>
      <c r="BR646"/>
      <c r="BS646"/>
      <c r="BT646"/>
      <c r="BU646"/>
      <c r="BV646"/>
      <c r="BW646"/>
      <c r="BX646"/>
      <c r="BY646"/>
      <c r="BZ646"/>
      <c r="CA646"/>
      <c r="CB646"/>
      <c r="CC646"/>
      <c r="CD646"/>
      <c r="CE646"/>
      <c r="CF646"/>
      <c r="CG646"/>
    </row>
    <row r="647" spans="4:85" ht="15">
      <c r="D647" s="1"/>
      <c r="E647" s="1"/>
      <c r="F647" s="1"/>
      <c r="G647" s="1"/>
      <c r="H647" s="1"/>
      <c r="I647" s="1"/>
      <c r="R647"/>
      <c r="S647"/>
      <c r="T647"/>
      <c r="U647"/>
      <c r="V647"/>
      <c r="W647"/>
      <c r="X647"/>
      <c r="Y647"/>
      <c r="Z647"/>
      <c r="AA647"/>
      <c r="AJ647"/>
      <c r="AL647"/>
      <c r="AM647"/>
      <c r="AN647"/>
      <c r="AO647"/>
      <c r="AP647"/>
      <c r="AQ647"/>
      <c r="AR647"/>
      <c r="AS647"/>
      <c r="AT647"/>
      <c r="AU647"/>
      <c r="AV647"/>
      <c r="AW647"/>
      <c r="AX647"/>
      <c r="AY647"/>
      <c r="AZ647"/>
      <c r="BA647"/>
      <c r="BB647"/>
      <c r="BC647"/>
      <c r="BD647"/>
      <c r="BE647"/>
      <c r="BF647"/>
      <c r="BG647"/>
      <c r="BH647"/>
      <c r="BI647"/>
      <c r="BJ647"/>
      <c r="BK647"/>
      <c r="BL647"/>
      <c r="BM647"/>
      <c r="BN647"/>
      <c r="BO647"/>
      <c r="BP647"/>
      <c r="BQ647"/>
      <c r="BR647"/>
      <c r="BS647"/>
      <c r="BT647"/>
      <c r="BU647"/>
      <c r="BV647"/>
      <c r="BW647"/>
      <c r="BX647"/>
      <c r="BY647"/>
      <c r="BZ647"/>
      <c r="CA647"/>
      <c r="CB647"/>
      <c r="CC647"/>
      <c r="CD647"/>
      <c r="CE647"/>
      <c r="CF647"/>
      <c r="CG647"/>
    </row>
    <row r="648" spans="4:85" ht="15">
      <c r="D648" s="1"/>
      <c r="E648" s="1"/>
      <c r="F648" s="1"/>
      <c r="G648" s="1"/>
      <c r="H648" s="1"/>
      <c r="I648" s="1"/>
      <c r="R648"/>
      <c r="S648"/>
      <c r="T648"/>
      <c r="U648"/>
      <c r="V648"/>
      <c r="W648"/>
      <c r="X648"/>
      <c r="Y648"/>
      <c r="Z648"/>
      <c r="AA648"/>
      <c r="AJ648"/>
      <c r="AL648"/>
      <c r="AM648"/>
      <c r="AN648"/>
      <c r="AO648"/>
      <c r="AP648"/>
      <c r="AQ648"/>
      <c r="AR648"/>
      <c r="AS648"/>
      <c r="AT648"/>
      <c r="AU648"/>
      <c r="AV648"/>
      <c r="AW648"/>
      <c r="AX648"/>
      <c r="AY648"/>
      <c r="AZ648"/>
      <c r="BA648"/>
      <c r="BB648"/>
      <c r="BC648"/>
      <c r="BD648"/>
      <c r="BE648"/>
      <c r="BF648"/>
      <c r="BG648"/>
      <c r="BH648"/>
      <c r="BI648"/>
      <c r="BJ648"/>
      <c r="BK648"/>
      <c r="BL648"/>
      <c r="BM648"/>
      <c r="BN648"/>
      <c r="BO648"/>
      <c r="BP648"/>
      <c r="BQ648"/>
      <c r="BR648"/>
      <c r="BS648"/>
      <c r="BT648"/>
      <c r="BU648"/>
      <c r="BV648"/>
      <c r="BW648"/>
      <c r="BX648"/>
      <c r="BY648"/>
      <c r="BZ648"/>
      <c r="CA648"/>
      <c r="CB648"/>
      <c r="CC648"/>
      <c r="CD648"/>
      <c r="CE648"/>
      <c r="CF648"/>
      <c r="CG648"/>
    </row>
    <row r="649" spans="4:85" ht="15">
      <c r="D649" s="1"/>
      <c r="E649" s="1"/>
      <c r="F649" s="1"/>
      <c r="G649" s="1"/>
      <c r="H649" s="1"/>
      <c r="I649" s="1"/>
      <c r="R649"/>
      <c r="S649"/>
      <c r="T649"/>
      <c r="U649"/>
      <c r="V649"/>
      <c r="W649"/>
      <c r="X649"/>
      <c r="Y649"/>
      <c r="Z649"/>
      <c r="AA649"/>
      <c r="AJ649"/>
      <c r="AL649"/>
      <c r="AM649"/>
      <c r="AN649"/>
      <c r="AO649"/>
      <c r="AP649"/>
      <c r="AQ649"/>
      <c r="AR649"/>
      <c r="AS649"/>
      <c r="AT649"/>
      <c r="AU649"/>
      <c r="AV649"/>
      <c r="AW649"/>
      <c r="AX649"/>
      <c r="AY649"/>
      <c r="AZ649"/>
      <c r="BA649"/>
      <c r="BB649"/>
      <c r="BC649"/>
      <c r="BD649"/>
      <c r="BE649"/>
      <c r="BF649"/>
      <c r="BG649"/>
      <c r="BH649"/>
      <c r="BI649"/>
      <c r="BJ649"/>
      <c r="BK649"/>
      <c r="BL649"/>
      <c r="BM649"/>
      <c r="BN649"/>
      <c r="BO649"/>
      <c r="BP649"/>
      <c r="BQ649"/>
      <c r="BR649"/>
      <c r="BS649"/>
      <c r="BT649"/>
      <c r="BU649"/>
      <c r="BV649"/>
      <c r="BW649"/>
      <c r="BX649"/>
      <c r="BY649"/>
      <c r="BZ649"/>
      <c r="CA649"/>
      <c r="CB649"/>
      <c r="CC649"/>
      <c r="CD649"/>
      <c r="CE649"/>
      <c r="CF649"/>
      <c r="CG649"/>
    </row>
    <row r="650" spans="4:85" ht="15">
      <c r="D650" s="1"/>
      <c r="E650" s="1"/>
      <c r="F650" s="1"/>
      <c r="G650" s="1"/>
      <c r="H650" s="1"/>
      <c r="I650" s="1"/>
      <c r="R650"/>
      <c r="S650"/>
      <c r="T650"/>
      <c r="U650"/>
      <c r="V650"/>
      <c r="W650"/>
      <c r="X650"/>
      <c r="Y650"/>
      <c r="Z650"/>
      <c r="AA650"/>
      <c r="AJ650"/>
      <c r="AL650"/>
      <c r="AM650"/>
      <c r="AN650"/>
      <c r="AO650"/>
      <c r="AP650"/>
      <c r="AQ650"/>
      <c r="AR650"/>
      <c r="AS650"/>
      <c r="AT650"/>
      <c r="AU650"/>
      <c r="AV650"/>
      <c r="AW650"/>
      <c r="AX650"/>
      <c r="AY650"/>
      <c r="AZ650"/>
      <c r="BA650"/>
      <c r="BB650"/>
      <c r="BC650"/>
      <c r="BD650"/>
      <c r="BE650"/>
      <c r="BF650"/>
      <c r="BG650"/>
      <c r="BH650"/>
      <c r="BI650"/>
      <c r="BJ650"/>
      <c r="BK650"/>
      <c r="BL650"/>
      <c r="BM650"/>
      <c r="BN650"/>
      <c r="BO650"/>
      <c r="BP650"/>
      <c r="BQ650"/>
      <c r="BR650"/>
      <c r="BS650"/>
      <c r="BT650"/>
      <c r="BU650"/>
      <c r="BV650"/>
      <c r="BW650"/>
      <c r="BX650"/>
      <c r="BY650"/>
      <c r="BZ650"/>
      <c r="CA650"/>
      <c r="CB650"/>
      <c r="CC650"/>
      <c r="CD650"/>
      <c r="CE650"/>
      <c r="CF650"/>
      <c r="CG650"/>
    </row>
    <row r="651" spans="4:85" ht="15">
      <c r="D651" s="1"/>
      <c r="E651" s="1"/>
      <c r="F651" s="1"/>
      <c r="G651" s="1"/>
      <c r="H651" s="1"/>
      <c r="I651" s="1"/>
      <c r="R651"/>
      <c r="S651"/>
      <c r="T651"/>
      <c r="U651"/>
      <c r="V651"/>
      <c r="W651"/>
      <c r="X651"/>
      <c r="Y651"/>
      <c r="Z651"/>
      <c r="AA651"/>
      <c r="AJ651"/>
      <c r="AL651"/>
      <c r="AM651"/>
      <c r="AN651"/>
      <c r="AO651"/>
      <c r="AP651"/>
      <c r="AQ651"/>
      <c r="AR651"/>
      <c r="AS651"/>
      <c r="AT651"/>
      <c r="AU651"/>
      <c r="AV651"/>
      <c r="AW651"/>
      <c r="AX651"/>
      <c r="AY651"/>
      <c r="AZ651"/>
      <c r="BA651"/>
      <c r="BB651"/>
      <c r="BC651"/>
      <c r="BD651"/>
      <c r="BE651"/>
      <c r="BF651"/>
      <c r="BG651"/>
      <c r="BH651"/>
      <c r="BI651"/>
      <c r="BJ651"/>
      <c r="BK651"/>
      <c r="BL651"/>
      <c r="BM651"/>
      <c r="BN651"/>
      <c r="BO651"/>
      <c r="BP651"/>
      <c r="BQ651"/>
      <c r="BR651"/>
      <c r="BS651"/>
      <c r="BT651"/>
      <c r="BU651"/>
      <c r="BV651"/>
      <c r="BW651"/>
      <c r="BX651"/>
      <c r="BY651"/>
      <c r="BZ651"/>
      <c r="CA651"/>
      <c r="CB651"/>
      <c r="CC651"/>
      <c r="CD651"/>
      <c r="CE651"/>
      <c r="CF651"/>
      <c r="CG651"/>
    </row>
    <row r="652" spans="4:85" ht="15">
      <c r="D652" s="1"/>
      <c r="E652" s="1"/>
      <c r="F652" s="1"/>
      <c r="G652" s="1"/>
      <c r="H652" s="1"/>
      <c r="I652" s="1"/>
      <c r="R652"/>
      <c r="S652"/>
      <c r="T652"/>
      <c r="U652"/>
      <c r="V652"/>
      <c r="W652"/>
      <c r="X652"/>
      <c r="Y652"/>
      <c r="Z652"/>
      <c r="AA652"/>
      <c r="AJ652"/>
      <c r="AL652"/>
      <c r="AM652"/>
      <c r="AN652"/>
      <c r="AO652"/>
      <c r="AP652"/>
      <c r="AQ652"/>
      <c r="AR652"/>
      <c r="AS652"/>
      <c r="AT652"/>
      <c r="AU652"/>
      <c r="AV652"/>
      <c r="AW652"/>
      <c r="AX652"/>
      <c r="AY652"/>
      <c r="AZ652"/>
      <c r="BA652"/>
      <c r="BB652"/>
      <c r="BC652"/>
      <c r="BD652"/>
      <c r="BE652"/>
      <c r="BF652"/>
      <c r="BG652"/>
      <c r="BH652"/>
      <c r="BI652"/>
      <c r="BJ652"/>
      <c r="BK652"/>
      <c r="BL652"/>
      <c r="BM652"/>
      <c r="BN652"/>
      <c r="BO652"/>
      <c r="BP652"/>
      <c r="BQ652"/>
      <c r="BR652"/>
      <c r="BS652"/>
      <c r="BT652"/>
      <c r="BU652"/>
      <c r="BV652"/>
      <c r="BW652"/>
      <c r="BX652"/>
      <c r="BY652"/>
      <c r="BZ652"/>
      <c r="CA652"/>
      <c r="CB652"/>
      <c r="CC652"/>
      <c r="CD652"/>
      <c r="CE652"/>
      <c r="CF652"/>
      <c r="CG652"/>
    </row>
    <row r="653" spans="4:85" ht="15">
      <c r="D653" s="1"/>
      <c r="E653" s="1"/>
      <c r="F653" s="1"/>
      <c r="G653" s="1"/>
      <c r="H653" s="1"/>
      <c r="I653" s="1"/>
      <c r="R653"/>
      <c r="S653"/>
      <c r="T653"/>
      <c r="U653"/>
      <c r="V653"/>
      <c r="W653"/>
      <c r="X653"/>
      <c r="Y653"/>
      <c r="Z653"/>
      <c r="AA653"/>
      <c r="AJ653"/>
      <c r="AL653"/>
      <c r="AM653"/>
      <c r="AN653"/>
      <c r="AO653"/>
      <c r="AP653"/>
      <c r="AQ653"/>
      <c r="AR653"/>
      <c r="AS653"/>
      <c r="AT653"/>
      <c r="AU653"/>
      <c r="AV653"/>
      <c r="AW653"/>
      <c r="AX653"/>
      <c r="AY653"/>
      <c r="AZ653"/>
      <c r="BA653"/>
      <c r="BB653"/>
      <c r="BC653"/>
      <c r="BD653"/>
      <c r="BE653"/>
      <c r="BF653"/>
      <c r="BG653"/>
      <c r="BH653"/>
      <c r="BI653"/>
      <c r="BJ653"/>
      <c r="BK653"/>
      <c r="BL653"/>
      <c r="BM653"/>
      <c r="BN653"/>
      <c r="BO653"/>
      <c r="BP653"/>
      <c r="BQ653"/>
      <c r="BR653"/>
      <c r="BS653"/>
      <c r="BT653"/>
      <c r="BU653"/>
      <c r="BV653"/>
      <c r="BW653"/>
      <c r="BX653"/>
      <c r="BY653"/>
      <c r="BZ653"/>
      <c r="CA653"/>
      <c r="CB653"/>
      <c r="CC653"/>
      <c r="CD653"/>
      <c r="CE653"/>
      <c r="CF653"/>
      <c r="CG653"/>
    </row>
    <row r="654" spans="4:85" ht="15">
      <c r="D654" s="1"/>
      <c r="E654" s="1"/>
      <c r="F654" s="1"/>
      <c r="G654" s="1"/>
      <c r="H654" s="1"/>
      <c r="I654" s="1"/>
      <c r="R654"/>
      <c r="S654"/>
      <c r="T654"/>
      <c r="U654"/>
      <c r="V654"/>
      <c r="W654"/>
      <c r="X654"/>
      <c r="Y654"/>
      <c r="Z654"/>
      <c r="AA654"/>
      <c r="AJ654"/>
      <c r="AL654"/>
      <c r="AM654"/>
      <c r="AN654"/>
      <c r="AO654"/>
      <c r="AP654"/>
      <c r="AQ654"/>
      <c r="AR654"/>
      <c r="AS654"/>
      <c r="AT654"/>
      <c r="AU654"/>
      <c r="AV654"/>
      <c r="AW654"/>
      <c r="AX654"/>
      <c r="AY654"/>
      <c r="AZ654"/>
      <c r="BA654"/>
      <c r="BB654"/>
      <c r="BC654"/>
      <c r="BD654"/>
      <c r="BE654"/>
      <c r="BF654"/>
      <c r="BG654"/>
      <c r="BH654"/>
      <c r="BI654"/>
      <c r="BJ654"/>
      <c r="BK654"/>
      <c r="BL654"/>
      <c r="BM654"/>
      <c r="BN654"/>
      <c r="BO654"/>
      <c r="BP654"/>
      <c r="BQ654"/>
      <c r="BR654"/>
      <c r="BS654"/>
      <c r="BT654"/>
      <c r="BU654"/>
      <c r="BV654"/>
      <c r="BW654"/>
      <c r="BX654"/>
      <c r="BY654"/>
      <c r="BZ654"/>
      <c r="CA654"/>
      <c r="CB654"/>
      <c r="CC654"/>
      <c r="CD654"/>
      <c r="CE654"/>
      <c r="CF654"/>
      <c r="CG654"/>
    </row>
    <row r="655" spans="4:85" ht="15">
      <c r="D655" s="1"/>
      <c r="E655" s="1"/>
      <c r="F655" s="1"/>
      <c r="G655" s="1"/>
      <c r="H655" s="1"/>
      <c r="I655" s="1"/>
      <c r="R655"/>
      <c r="S655"/>
      <c r="T655"/>
      <c r="U655"/>
      <c r="V655"/>
      <c r="W655"/>
      <c r="X655"/>
      <c r="Y655"/>
      <c r="Z655"/>
      <c r="AA655"/>
      <c r="AJ655"/>
      <c r="AL655"/>
      <c r="AM655"/>
      <c r="AN655"/>
      <c r="AO655"/>
      <c r="AP655"/>
      <c r="AQ655"/>
      <c r="AR655"/>
      <c r="AS655"/>
      <c r="AT655"/>
      <c r="AU655"/>
      <c r="AV655"/>
      <c r="AW655"/>
      <c r="AX655"/>
      <c r="AY655"/>
      <c r="AZ655"/>
      <c r="BA655"/>
      <c r="BB655"/>
      <c r="BC655"/>
      <c r="BD655"/>
      <c r="BE655"/>
      <c r="BF655"/>
      <c r="BG655"/>
      <c r="BH655"/>
      <c r="BI655"/>
      <c r="BJ655"/>
      <c r="BK655"/>
      <c r="BL655"/>
      <c r="BM655"/>
      <c r="BN655"/>
      <c r="BO655"/>
      <c r="BP655"/>
      <c r="BQ655"/>
      <c r="BR655"/>
      <c r="BS655"/>
      <c r="BT655"/>
      <c r="BU655"/>
      <c r="BV655"/>
      <c r="BW655"/>
      <c r="BX655"/>
      <c r="BY655"/>
      <c r="BZ655"/>
      <c r="CA655"/>
      <c r="CB655"/>
      <c r="CC655"/>
      <c r="CD655"/>
      <c r="CE655"/>
      <c r="CF655"/>
      <c r="CG655"/>
    </row>
    <row r="656" spans="4:85" ht="15">
      <c r="D656" s="1"/>
      <c r="E656" s="1"/>
      <c r="F656" s="1"/>
      <c r="G656" s="1"/>
      <c r="H656" s="1"/>
      <c r="I656" s="1"/>
      <c r="R656"/>
      <c r="S656"/>
      <c r="T656"/>
      <c r="U656"/>
      <c r="V656"/>
      <c r="W656"/>
      <c r="X656"/>
      <c r="Y656"/>
      <c r="Z656"/>
      <c r="AA656"/>
      <c r="AJ656"/>
      <c r="AL656"/>
      <c r="AM656"/>
      <c r="AN656"/>
      <c r="AO656"/>
      <c r="AP656"/>
      <c r="AQ656"/>
      <c r="AR656"/>
      <c r="AS656"/>
      <c r="AT656"/>
      <c r="AU656"/>
      <c r="AV656"/>
      <c r="AW656"/>
      <c r="AX656"/>
      <c r="AY656"/>
      <c r="AZ656"/>
      <c r="BA656"/>
      <c r="BB656"/>
      <c r="BC656"/>
      <c r="BD656"/>
      <c r="BE656"/>
      <c r="BF656"/>
      <c r="BG656"/>
      <c r="BH656"/>
      <c r="BI656"/>
      <c r="BJ656"/>
      <c r="BK656"/>
      <c r="BL656"/>
      <c r="BM656"/>
      <c r="BN656"/>
      <c r="BO656"/>
      <c r="BP656"/>
      <c r="BQ656"/>
      <c r="BR656"/>
      <c r="BS656"/>
      <c r="BT656"/>
      <c r="BU656"/>
      <c r="BV656"/>
      <c r="BW656"/>
      <c r="BX656"/>
      <c r="BY656"/>
      <c r="BZ656"/>
      <c r="CA656"/>
      <c r="CB656"/>
      <c r="CC656"/>
      <c r="CD656"/>
      <c r="CE656"/>
      <c r="CF656"/>
      <c r="CG656"/>
    </row>
    <row r="657" spans="4:85" ht="15">
      <c r="D657" s="1"/>
      <c r="E657" s="1"/>
      <c r="F657" s="1"/>
      <c r="G657" s="1"/>
      <c r="H657" s="1"/>
      <c r="I657" s="1"/>
      <c r="R657"/>
      <c r="S657"/>
      <c r="T657"/>
      <c r="U657"/>
      <c r="V657"/>
      <c r="W657"/>
      <c r="X657"/>
      <c r="Y657"/>
      <c r="Z657"/>
      <c r="AA657"/>
      <c r="AJ657"/>
      <c r="AL657"/>
      <c r="AM657"/>
      <c r="AN657"/>
      <c r="AO657"/>
      <c r="AP657"/>
      <c r="AQ657"/>
      <c r="AR657"/>
      <c r="AS657"/>
      <c r="AT657"/>
      <c r="AU657"/>
      <c r="AV657"/>
      <c r="AW657"/>
      <c r="AX657"/>
      <c r="AY657"/>
      <c r="AZ657"/>
      <c r="BA657"/>
      <c r="BB657"/>
      <c r="BC657"/>
      <c r="BD657"/>
      <c r="BE657"/>
      <c r="BF657"/>
      <c r="BG657"/>
      <c r="BH657"/>
      <c r="BI657"/>
      <c r="BJ657"/>
      <c r="BK657"/>
      <c r="BL657"/>
      <c r="BM657"/>
      <c r="BN657"/>
      <c r="BO657"/>
      <c r="BP657"/>
      <c r="BQ657"/>
      <c r="BR657"/>
      <c r="BS657"/>
      <c r="BT657"/>
      <c r="BU657"/>
      <c r="BV657"/>
      <c r="BW657"/>
      <c r="BX657"/>
      <c r="BY657"/>
      <c r="BZ657"/>
      <c r="CA657"/>
      <c r="CB657"/>
      <c r="CC657"/>
      <c r="CD657"/>
      <c r="CE657"/>
      <c r="CF657"/>
      <c r="CG657"/>
    </row>
    <row r="658" spans="4:85" ht="15">
      <c r="D658" s="1"/>
      <c r="E658" s="1"/>
      <c r="F658" s="1"/>
      <c r="G658" s="1"/>
      <c r="H658" s="1"/>
      <c r="I658" s="1"/>
      <c r="R658"/>
      <c r="S658"/>
      <c r="T658"/>
      <c r="U658"/>
      <c r="V658"/>
      <c r="W658"/>
      <c r="X658"/>
      <c r="Y658"/>
      <c r="Z658"/>
      <c r="AA658"/>
      <c r="AJ658"/>
      <c r="AL658"/>
      <c r="AM658"/>
      <c r="AN658"/>
      <c r="AO658"/>
      <c r="AP658"/>
      <c r="AQ658"/>
      <c r="AR658"/>
      <c r="AS658"/>
      <c r="AT658"/>
      <c r="AU658"/>
      <c r="AV658"/>
      <c r="AW658"/>
      <c r="AX658"/>
      <c r="AY658"/>
      <c r="AZ658"/>
      <c r="BA658"/>
      <c r="BB658"/>
      <c r="BC658"/>
      <c r="BD658"/>
      <c r="BE658"/>
      <c r="BF658"/>
      <c r="BG658"/>
      <c r="BH658"/>
      <c r="BI658"/>
      <c r="BJ658"/>
      <c r="BK658"/>
      <c r="BL658"/>
      <c r="BM658"/>
      <c r="BN658"/>
      <c r="BO658"/>
      <c r="BP658"/>
      <c r="BQ658"/>
      <c r="BR658"/>
      <c r="BS658"/>
      <c r="BT658"/>
      <c r="BU658"/>
      <c r="BV658"/>
      <c r="BW658"/>
      <c r="BX658"/>
      <c r="BY658"/>
      <c r="BZ658"/>
      <c r="CA658"/>
      <c r="CB658"/>
      <c r="CC658"/>
      <c r="CD658"/>
      <c r="CE658"/>
      <c r="CF658"/>
      <c r="CG658"/>
    </row>
    <row r="659" spans="4:85" ht="15">
      <c r="D659" s="1"/>
      <c r="E659" s="1"/>
      <c r="F659" s="1"/>
      <c r="G659" s="1"/>
      <c r="H659" s="1"/>
      <c r="I659" s="1"/>
      <c r="R659"/>
      <c r="S659"/>
      <c r="T659"/>
      <c r="U659"/>
      <c r="V659"/>
      <c r="W659"/>
      <c r="X659"/>
      <c r="Y659"/>
      <c r="Z659"/>
      <c r="AA659"/>
      <c r="AJ659"/>
      <c r="AL659"/>
      <c r="AM659"/>
      <c r="AN659"/>
      <c r="AO659"/>
      <c r="AP659"/>
      <c r="AQ659"/>
      <c r="AR659"/>
      <c r="AS659"/>
      <c r="AT659"/>
      <c r="AU659"/>
      <c r="AV659"/>
      <c r="AW659"/>
      <c r="AX659"/>
      <c r="AY659"/>
      <c r="AZ659"/>
      <c r="BA659"/>
      <c r="BB659"/>
      <c r="BC659"/>
      <c r="BD659"/>
      <c r="BE659"/>
      <c r="BF659"/>
      <c r="BG659"/>
      <c r="BH659"/>
      <c r="BI659"/>
      <c r="BJ659"/>
      <c r="BK659"/>
      <c r="BL659"/>
      <c r="BM659"/>
      <c r="BN659"/>
      <c r="BO659"/>
      <c r="BP659"/>
      <c r="BQ659"/>
      <c r="BR659"/>
      <c r="BS659"/>
      <c r="BT659"/>
      <c r="BU659"/>
      <c r="BV659"/>
      <c r="BW659"/>
      <c r="BX659"/>
      <c r="BY659"/>
      <c r="BZ659"/>
      <c r="CA659"/>
      <c r="CB659"/>
      <c r="CC659"/>
      <c r="CD659"/>
      <c r="CE659"/>
      <c r="CF659"/>
      <c r="CG659"/>
    </row>
    <row r="660" spans="4:85" ht="15">
      <c r="D660" s="1"/>
      <c r="E660" s="1"/>
      <c r="F660" s="1"/>
      <c r="G660" s="1"/>
      <c r="H660" s="1"/>
      <c r="I660" s="1"/>
      <c r="R660"/>
      <c r="S660"/>
      <c r="T660"/>
      <c r="U660"/>
      <c r="V660"/>
      <c r="W660"/>
      <c r="X660"/>
      <c r="Y660"/>
      <c r="Z660"/>
      <c r="AA660"/>
      <c r="AJ660"/>
      <c r="AL660"/>
      <c r="AM660"/>
      <c r="AN660"/>
      <c r="AO660"/>
      <c r="AP660"/>
      <c r="AQ660"/>
      <c r="AR660"/>
      <c r="AS660"/>
      <c r="AT660"/>
      <c r="AU660"/>
      <c r="AV660"/>
      <c r="AW660"/>
      <c r="AX660"/>
      <c r="AY660"/>
      <c r="AZ660"/>
      <c r="BA660"/>
      <c r="BB660"/>
      <c r="BC660"/>
      <c r="BD660"/>
      <c r="BE660"/>
      <c r="BF660"/>
      <c r="BG660"/>
      <c r="BH660"/>
      <c r="BI660"/>
      <c r="BJ660"/>
      <c r="BK660"/>
      <c r="BL660"/>
      <c r="BM660"/>
      <c r="BN660"/>
      <c r="BO660"/>
      <c r="BP660"/>
      <c r="BQ660"/>
      <c r="BR660"/>
      <c r="BS660"/>
      <c r="BT660"/>
      <c r="BU660"/>
      <c r="BV660"/>
      <c r="BW660"/>
      <c r="BX660"/>
      <c r="BY660"/>
      <c r="BZ660"/>
      <c r="CA660"/>
      <c r="CB660"/>
      <c r="CC660"/>
      <c r="CD660"/>
      <c r="CE660"/>
      <c r="CF660"/>
      <c r="CG660"/>
    </row>
    <row r="661" spans="4:85" ht="15">
      <c r="D661" s="1"/>
      <c r="E661" s="1"/>
      <c r="F661" s="1"/>
      <c r="G661" s="1"/>
      <c r="H661" s="1"/>
      <c r="I661" s="1"/>
      <c r="R661"/>
      <c r="S661"/>
      <c r="T661"/>
      <c r="U661"/>
      <c r="V661"/>
      <c r="W661"/>
      <c r="X661"/>
      <c r="Y661"/>
      <c r="Z661"/>
      <c r="AA661"/>
      <c r="AJ661"/>
      <c r="AL661"/>
      <c r="AM661"/>
      <c r="AN661"/>
      <c r="AO661"/>
      <c r="AP661"/>
      <c r="AQ661"/>
      <c r="AR661"/>
      <c r="AS661"/>
      <c r="AT661"/>
      <c r="AU661"/>
      <c r="AV661"/>
      <c r="AW661"/>
      <c r="AX661"/>
      <c r="AY661"/>
      <c r="AZ661"/>
      <c r="BA661"/>
      <c r="BB661"/>
      <c r="BC661"/>
      <c r="BD661"/>
      <c r="BE661"/>
      <c r="BF661"/>
      <c r="BG661"/>
      <c r="BH661"/>
      <c r="BI661"/>
      <c r="BJ661"/>
      <c r="BK661"/>
      <c r="BL661"/>
      <c r="BM661"/>
      <c r="BN661"/>
      <c r="BO661"/>
      <c r="BP661"/>
      <c r="BQ661"/>
      <c r="BR661"/>
      <c r="BS661"/>
      <c r="BT661"/>
      <c r="BU661"/>
      <c r="BV661"/>
      <c r="BW661"/>
      <c r="BX661"/>
      <c r="BY661"/>
      <c r="BZ661"/>
      <c r="CA661"/>
      <c r="CB661"/>
      <c r="CC661"/>
      <c r="CD661"/>
      <c r="CE661"/>
      <c r="CF661"/>
      <c r="CG661"/>
    </row>
    <row r="662" spans="4:85" ht="15">
      <c r="D662" s="1"/>
      <c r="E662" s="1"/>
      <c r="F662" s="1"/>
      <c r="G662" s="1"/>
      <c r="H662" s="1"/>
      <c r="I662" s="1"/>
      <c r="R662"/>
      <c r="S662"/>
      <c r="T662"/>
      <c r="U662"/>
      <c r="V662"/>
      <c r="W662"/>
      <c r="X662"/>
      <c r="Y662"/>
      <c r="Z662"/>
      <c r="AA662"/>
      <c r="AJ662"/>
      <c r="AL662"/>
      <c r="AM662"/>
      <c r="AN662"/>
      <c r="AO662"/>
      <c r="AP662"/>
      <c r="AQ662"/>
      <c r="AR662"/>
      <c r="AS662"/>
      <c r="AT662"/>
      <c r="AU662"/>
      <c r="AV662"/>
      <c r="AW662"/>
      <c r="AX662"/>
      <c r="AY662"/>
      <c r="AZ662"/>
      <c r="BA662"/>
      <c r="BB662"/>
      <c r="BC662"/>
      <c r="BD662"/>
      <c r="BE662"/>
      <c r="BF662"/>
      <c r="BG662"/>
      <c r="BH662"/>
      <c r="BI662"/>
      <c r="BJ662"/>
      <c r="BK662"/>
      <c r="BL662"/>
      <c r="BM662"/>
      <c r="BN662"/>
      <c r="BO662"/>
      <c r="BP662"/>
      <c r="BQ662"/>
      <c r="BR662"/>
      <c r="BS662"/>
      <c r="BT662"/>
      <c r="BU662"/>
      <c r="BV662"/>
      <c r="BW662"/>
      <c r="BX662"/>
      <c r="BY662"/>
      <c r="BZ662"/>
      <c r="CA662"/>
      <c r="CB662"/>
      <c r="CC662"/>
      <c r="CD662"/>
      <c r="CE662"/>
      <c r="CF662"/>
      <c r="CG662"/>
    </row>
    <row r="663" spans="4:85" ht="15">
      <c r="D663" s="1"/>
      <c r="E663" s="1"/>
      <c r="F663" s="1"/>
      <c r="G663" s="1"/>
      <c r="H663" s="1"/>
      <c r="I663" s="1"/>
      <c r="R663"/>
      <c r="S663"/>
      <c r="T663"/>
      <c r="U663"/>
      <c r="V663"/>
      <c r="W663"/>
      <c r="X663"/>
      <c r="Y663"/>
      <c r="Z663"/>
      <c r="AA663"/>
      <c r="AJ663"/>
      <c r="AL663"/>
      <c r="AM663"/>
      <c r="AN663"/>
      <c r="AO663"/>
      <c r="AP663"/>
      <c r="AQ663"/>
      <c r="AR663"/>
      <c r="AS663"/>
      <c r="AT663"/>
      <c r="AU663"/>
      <c r="AV663"/>
      <c r="AW663"/>
      <c r="AX663"/>
      <c r="AY663"/>
      <c r="AZ663"/>
      <c r="BA663"/>
      <c r="BB663"/>
      <c r="BC663"/>
      <c r="BD663"/>
      <c r="BE663"/>
      <c r="BF663"/>
      <c r="BG663"/>
      <c r="BH663"/>
      <c r="BI663"/>
      <c r="BJ663"/>
      <c r="BK663"/>
      <c r="BL663"/>
      <c r="BM663"/>
      <c r="BN663"/>
      <c r="BO663"/>
      <c r="BP663"/>
      <c r="BQ663"/>
      <c r="BR663"/>
      <c r="BS663"/>
      <c r="BT663"/>
      <c r="BU663"/>
      <c r="BV663"/>
      <c r="BW663"/>
      <c r="BX663"/>
      <c r="BY663"/>
      <c r="BZ663"/>
      <c r="CA663"/>
      <c r="CB663"/>
      <c r="CC663"/>
      <c r="CD663"/>
      <c r="CE663"/>
      <c r="CF663"/>
      <c r="CG663"/>
    </row>
    <row r="664" spans="4:85" ht="15">
      <c r="D664" s="1"/>
      <c r="E664" s="1"/>
      <c r="F664" s="1"/>
      <c r="G664" s="1"/>
      <c r="H664" s="1"/>
      <c r="I664" s="1"/>
      <c r="R664"/>
      <c r="S664"/>
      <c r="T664"/>
      <c r="U664"/>
      <c r="V664"/>
      <c r="W664"/>
      <c r="X664"/>
      <c r="Y664"/>
      <c r="Z664"/>
      <c r="AA664"/>
      <c r="AJ664"/>
      <c r="AL664"/>
      <c r="AM664"/>
      <c r="AN664"/>
      <c r="AO664"/>
      <c r="AP664"/>
      <c r="AQ664"/>
      <c r="AR664"/>
      <c r="AS664"/>
      <c r="AT664"/>
      <c r="AU664"/>
      <c r="AV664"/>
      <c r="AW664"/>
      <c r="AX664"/>
      <c r="AY664"/>
      <c r="AZ664"/>
      <c r="BA664"/>
      <c r="BB664"/>
      <c r="BC664"/>
      <c r="BD664"/>
      <c r="BE664"/>
      <c r="BF664"/>
      <c r="BG664"/>
      <c r="BH664"/>
      <c r="BI664"/>
      <c r="BJ664"/>
      <c r="BK664"/>
      <c r="BL664"/>
      <c r="BM664"/>
      <c r="BN664"/>
      <c r="BO664"/>
      <c r="BP664"/>
      <c r="BQ664"/>
      <c r="BR664"/>
      <c r="BS664"/>
      <c r="BT664"/>
      <c r="BU664"/>
      <c r="BV664"/>
      <c r="BW664"/>
      <c r="BX664"/>
      <c r="BY664"/>
      <c r="BZ664"/>
      <c r="CA664"/>
      <c r="CB664"/>
      <c r="CC664"/>
      <c r="CD664"/>
      <c r="CE664"/>
      <c r="CF664"/>
      <c r="CG664"/>
    </row>
    <row r="665" spans="4:85" ht="15">
      <c r="D665" s="1"/>
      <c r="E665" s="1"/>
      <c r="F665" s="1"/>
      <c r="G665" s="1"/>
      <c r="H665" s="1"/>
      <c r="I665" s="1"/>
      <c r="R665"/>
      <c r="S665"/>
      <c r="T665"/>
      <c r="U665"/>
      <c r="V665"/>
      <c r="W665"/>
      <c r="X665"/>
      <c r="Y665"/>
      <c r="Z665"/>
      <c r="AA665"/>
      <c r="AJ665"/>
      <c r="AL665"/>
      <c r="AM665"/>
      <c r="AN665"/>
      <c r="AO665"/>
      <c r="AP665"/>
      <c r="AQ665"/>
      <c r="AR665"/>
      <c r="AS665"/>
      <c r="AT665"/>
      <c r="AU665"/>
      <c r="AV665"/>
      <c r="AW665"/>
      <c r="AX665"/>
      <c r="AY665"/>
      <c r="AZ665"/>
      <c r="BA665"/>
      <c r="BB665"/>
      <c r="BC665"/>
      <c r="BD665"/>
      <c r="BE665"/>
      <c r="BF665"/>
      <c r="BG665"/>
      <c r="BH665"/>
      <c r="BI665"/>
      <c r="BJ665"/>
      <c r="BK665"/>
      <c r="BL665"/>
      <c r="BM665"/>
      <c r="BN665"/>
      <c r="BO665"/>
      <c r="BP665"/>
      <c r="BQ665"/>
      <c r="BR665"/>
      <c r="BS665"/>
      <c r="BT665"/>
      <c r="BU665"/>
      <c r="BV665"/>
      <c r="BW665"/>
      <c r="BX665"/>
      <c r="BY665"/>
      <c r="BZ665"/>
      <c r="CA665"/>
      <c r="CB665"/>
      <c r="CC665"/>
      <c r="CD665"/>
      <c r="CE665"/>
      <c r="CF665"/>
      <c r="CG665"/>
    </row>
    <row r="666" spans="4:85" ht="15">
      <c r="D666" s="1"/>
      <c r="E666" s="1"/>
      <c r="F666" s="1"/>
      <c r="G666" s="1"/>
      <c r="H666" s="1"/>
      <c r="I666" s="1"/>
      <c r="R666"/>
      <c r="S666"/>
      <c r="T666"/>
      <c r="U666"/>
      <c r="V666"/>
      <c r="W666"/>
      <c r="X666"/>
      <c r="Y666"/>
      <c r="Z666"/>
      <c r="AA666"/>
      <c r="AJ666"/>
      <c r="AL666"/>
      <c r="AM666"/>
      <c r="AN666"/>
      <c r="AO666"/>
      <c r="AP666"/>
      <c r="AQ666"/>
      <c r="AR666"/>
      <c r="AS666"/>
      <c r="AT666"/>
      <c r="AU666"/>
      <c r="AV666"/>
      <c r="AW666"/>
      <c r="AX666"/>
      <c r="AY666"/>
      <c r="AZ666"/>
      <c r="BA666"/>
      <c r="BB666"/>
      <c r="BC666"/>
      <c r="BD666"/>
      <c r="BE666"/>
      <c r="BF666"/>
      <c r="BG666"/>
      <c r="BH666"/>
      <c r="BI666"/>
      <c r="BJ666"/>
      <c r="BK666"/>
      <c r="BL666"/>
      <c r="BM666"/>
      <c r="BN666"/>
      <c r="BO666"/>
      <c r="BP666"/>
      <c r="BQ666"/>
      <c r="BR666"/>
      <c r="BS666"/>
      <c r="BT666"/>
      <c r="BU666"/>
      <c r="BV666"/>
      <c r="BW666"/>
      <c r="BX666"/>
      <c r="BY666"/>
      <c r="BZ666"/>
      <c r="CA666"/>
      <c r="CB666"/>
      <c r="CC666"/>
      <c r="CD666"/>
      <c r="CE666"/>
      <c r="CF666"/>
      <c r="CG666"/>
    </row>
    <row r="667" spans="4:85" ht="15">
      <c r="D667" s="1"/>
      <c r="E667" s="1"/>
      <c r="F667" s="1"/>
      <c r="G667" s="1"/>
      <c r="H667" s="1"/>
      <c r="I667" s="1"/>
      <c r="R667"/>
      <c r="S667"/>
      <c r="T667"/>
      <c r="U667"/>
      <c r="V667"/>
      <c r="W667"/>
      <c r="X667"/>
      <c r="Y667"/>
      <c r="Z667"/>
      <c r="AA667"/>
      <c r="AJ667"/>
      <c r="AL667"/>
      <c r="AM667"/>
      <c r="AN667"/>
      <c r="AO667"/>
      <c r="AP667"/>
      <c r="AQ667"/>
      <c r="AR667"/>
      <c r="AS667"/>
      <c r="AT667"/>
      <c r="AU667"/>
      <c r="AV667"/>
      <c r="AW667"/>
      <c r="AX667"/>
      <c r="AY667"/>
      <c r="AZ667"/>
      <c r="BA667"/>
      <c r="BB667"/>
      <c r="BC667"/>
      <c r="BD667"/>
      <c r="BE667"/>
      <c r="BF667"/>
      <c r="BG667"/>
      <c r="BH667"/>
      <c r="BI667"/>
      <c r="BJ667"/>
      <c r="BK667"/>
      <c r="BL667"/>
      <c r="BM667"/>
      <c r="BN667"/>
      <c r="BO667"/>
      <c r="BP667"/>
      <c r="BQ667"/>
      <c r="BR667"/>
      <c r="BS667"/>
      <c r="BT667"/>
      <c r="BU667"/>
      <c r="BV667"/>
      <c r="BW667"/>
      <c r="BX667"/>
      <c r="BY667"/>
      <c r="BZ667"/>
      <c r="CA667"/>
      <c r="CB667"/>
      <c r="CC667"/>
      <c r="CD667"/>
      <c r="CE667"/>
      <c r="CF667"/>
      <c r="CG667"/>
    </row>
    <row r="668" spans="4:85" ht="15">
      <c r="D668" s="1"/>
      <c r="E668" s="1"/>
      <c r="F668" s="1"/>
      <c r="G668" s="1"/>
      <c r="H668" s="1"/>
      <c r="I668" s="1"/>
      <c r="R668"/>
      <c r="S668"/>
      <c r="T668"/>
      <c r="U668"/>
      <c r="V668"/>
      <c r="W668"/>
      <c r="X668"/>
      <c r="Y668"/>
      <c r="Z668"/>
      <c r="AA668"/>
      <c r="AJ668"/>
      <c r="AL668"/>
      <c r="AM668"/>
      <c r="AN668"/>
      <c r="AO668"/>
      <c r="AP668"/>
      <c r="AQ668"/>
      <c r="AR668"/>
      <c r="AS668"/>
      <c r="AT668"/>
      <c r="AU668"/>
      <c r="AV668"/>
      <c r="AW668"/>
      <c r="AX668"/>
      <c r="AY668"/>
      <c r="AZ668"/>
      <c r="BA668"/>
      <c r="BB668"/>
      <c r="BC668"/>
      <c r="BD668"/>
      <c r="BE668"/>
      <c r="BF668"/>
      <c r="BG668"/>
      <c r="BH668"/>
      <c r="BI668"/>
      <c r="BJ668"/>
      <c r="BK668"/>
      <c r="BL668"/>
      <c r="BM668"/>
      <c r="BN668"/>
      <c r="BO668"/>
      <c r="BP668"/>
      <c r="BQ668"/>
      <c r="BR668"/>
      <c r="BS668"/>
      <c r="BT668"/>
      <c r="BU668"/>
      <c r="BV668"/>
      <c r="BW668"/>
      <c r="BX668"/>
      <c r="BY668"/>
      <c r="BZ668"/>
      <c r="CA668"/>
      <c r="CB668"/>
      <c r="CC668"/>
      <c r="CD668"/>
      <c r="CE668"/>
      <c r="CF668"/>
      <c r="CG668"/>
    </row>
    <row r="669" spans="4:85" ht="15">
      <c r="D669" s="1"/>
      <c r="E669" s="1"/>
      <c r="F669" s="1"/>
      <c r="G669" s="1"/>
      <c r="H669" s="1"/>
      <c r="I669" s="1"/>
      <c r="R669"/>
      <c r="S669"/>
      <c r="T669"/>
      <c r="U669"/>
      <c r="V669"/>
      <c r="W669"/>
      <c r="X669"/>
      <c r="Y669"/>
      <c r="Z669"/>
      <c r="AA669"/>
      <c r="AJ669"/>
      <c r="AL669"/>
      <c r="AM669"/>
      <c r="AN669"/>
      <c r="AO669"/>
      <c r="AP669"/>
      <c r="AQ669"/>
      <c r="AR669"/>
      <c r="AS669"/>
      <c r="AT669"/>
      <c r="AU669"/>
      <c r="AV669"/>
      <c r="AW669"/>
      <c r="AX669"/>
      <c r="AY669"/>
      <c r="AZ669"/>
      <c r="BA669"/>
      <c r="BB669"/>
      <c r="BC669"/>
      <c r="BD669"/>
      <c r="BE669"/>
      <c r="BF669"/>
      <c r="BG669"/>
      <c r="BH669"/>
      <c r="BI669"/>
      <c r="BJ669"/>
      <c r="BK669"/>
      <c r="BL669"/>
      <c r="BM669"/>
      <c r="BN669"/>
      <c r="BO669"/>
      <c r="BP669"/>
      <c r="BQ669"/>
      <c r="BR669"/>
      <c r="BS669"/>
      <c r="BT669"/>
      <c r="BU669"/>
      <c r="BV669"/>
      <c r="BW669"/>
      <c r="BX669"/>
      <c r="BY669"/>
      <c r="BZ669"/>
      <c r="CA669"/>
      <c r="CB669"/>
      <c r="CC669"/>
      <c r="CD669"/>
      <c r="CE669"/>
      <c r="CF669"/>
      <c r="CG669"/>
    </row>
    <row r="670" spans="4:85" ht="15">
      <c r="D670" s="1"/>
      <c r="E670" s="1"/>
      <c r="F670" s="1"/>
      <c r="G670" s="1"/>
      <c r="H670" s="1"/>
      <c r="I670" s="1"/>
      <c r="R670"/>
      <c r="S670"/>
      <c r="T670"/>
      <c r="U670"/>
      <c r="V670"/>
      <c r="W670"/>
      <c r="X670"/>
      <c r="Y670"/>
      <c r="Z670"/>
      <c r="AA670"/>
      <c r="AJ670"/>
      <c r="AL670"/>
      <c r="AM670"/>
      <c r="AN670"/>
      <c r="AO670"/>
      <c r="AP670"/>
      <c r="AQ670"/>
      <c r="AR670"/>
      <c r="AS670"/>
      <c r="AT670"/>
      <c r="AU670"/>
      <c r="AV670"/>
      <c r="AW670"/>
      <c r="AX670"/>
      <c r="AY670"/>
      <c r="AZ670"/>
      <c r="BA670"/>
      <c r="BB670"/>
      <c r="BC670"/>
      <c r="BD670"/>
      <c r="BE670"/>
      <c r="BF670"/>
      <c r="BG670"/>
      <c r="BH670"/>
      <c r="BI670"/>
      <c r="BJ670"/>
      <c r="BK670"/>
      <c r="BL670"/>
      <c r="BM670"/>
      <c r="BN670"/>
      <c r="BO670"/>
      <c r="BP670"/>
      <c r="BQ670"/>
      <c r="BR670"/>
      <c r="BS670"/>
      <c r="BT670"/>
      <c r="BU670"/>
      <c r="BV670"/>
      <c r="BW670"/>
      <c r="BX670"/>
      <c r="BY670"/>
      <c r="BZ670"/>
      <c r="CA670"/>
      <c r="CB670"/>
      <c r="CC670"/>
      <c r="CD670"/>
      <c r="CE670"/>
      <c r="CF670"/>
      <c r="CG670"/>
    </row>
    <row r="671" spans="4:85" ht="15">
      <c r="D671" s="1"/>
      <c r="E671" s="1"/>
      <c r="F671" s="1"/>
      <c r="G671" s="1"/>
      <c r="H671" s="1"/>
      <c r="I671" s="1"/>
      <c r="R671"/>
      <c r="S671"/>
      <c r="T671"/>
      <c r="U671"/>
      <c r="V671"/>
      <c r="W671"/>
      <c r="X671"/>
      <c r="Y671"/>
      <c r="Z671"/>
      <c r="AA671"/>
      <c r="AJ671"/>
      <c r="AL671"/>
      <c r="AM671"/>
      <c r="AN671"/>
      <c r="AO671"/>
      <c r="AP671"/>
      <c r="AQ671"/>
      <c r="AR671"/>
      <c r="AS671"/>
      <c r="AT671"/>
      <c r="AU671"/>
      <c r="AV671"/>
      <c r="AW671"/>
      <c r="AX671"/>
      <c r="AY671"/>
      <c r="AZ671"/>
      <c r="BA671"/>
      <c r="BB671"/>
      <c r="BC671"/>
      <c r="BD671"/>
      <c r="BE671"/>
      <c r="BF671"/>
      <c r="BG671"/>
      <c r="BH671"/>
      <c r="BI671"/>
      <c r="BJ671"/>
      <c r="BK671"/>
      <c r="BL671"/>
      <c r="BM671"/>
      <c r="BN671"/>
      <c r="BO671"/>
      <c r="BP671"/>
      <c r="BQ671"/>
      <c r="BR671"/>
      <c r="BS671"/>
      <c r="BT671"/>
      <c r="BU671"/>
      <c r="BV671"/>
      <c r="BW671"/>
      <c r="BX671"/>
      <c r="BY671"/>
      <c r="BZ671"/>
      <c r="CA671"/>
      <c r="CB671"/>
      <c r="CC671"/>
      <c r="CD671"/>
      <c r="CE671"/>
      <c r="CF671"/>
      <c r="CG671"/>
    </row>
    <row r="672" spans="4:85" ht="15">
      <c r="D672" s="1"/>
      <c r="E672" s="1"/>
      <c r="F672" s="1"/>
      <c r="G672" s="1"/>
      <c r="H672" s="1"/>
      <c r="I672" s="1"/>
      <c r="R672"/>
      <c r="S672"/>
      <c r="T672"/>
      <c r="U672"/>
      <c r="V672"/>
      <c r="W672"/>
      <c r="X672"/>
      <c r="Y672"/>
      <c r="Z672"/>
      <c r="AA672"/>
      <c r="AJ672"/>
      <c r="AL672"/>
      <c r="AM672"/>
      <c r="AN672"/>
      <c r="AO672"/>
      <c r="AP672"/>
      <c r="AQ672"/>
      <c r="AR672"/>
      <c r="AS672"/>
      <c r="AT672"/>
      <c r="AU672"/>
      <c r="AV672"/>
      <c r="AW672"/>
      <c r="AX672"/>
      <c r="AY672"/>
      <c r="AZ672"/>
      <c r="BA672"/>
      <c r="BB672"/>
      <c r="BC672"/>
      <c r="BD672"/>
      <c r="BE672"/>
      <c r="BF672"/>
      <c r="BG672"/>
      <c r="BH672"/>
      <c r="BI672"/>
      <c r="BJ672"/>
      <c r="BK672"/>
      <c r="BL672"/>
      <c r="BM672"/>
      <c r="BN672"/>
      <c r="BO672"/>
      <c r="BP672"/>
      <c r="BQ672"/>
      <c r="BR672"/>
      <c r="BS672"/>
      <c r="BT672"/>
      <c r="BU672"/>
      <c r="BV672"/>
      <c r="BW672"/>
      <c r="BX672"/>
      <c r="BY672"/>
      <c r="BZ672"/>
      <c r="CA672"/>
      <c r="CB672"/>
      <c r="CC672"/>
      <c r="CD672"/>
      <c r="CE672"/>
      <c r="CF672"/>
      <c r="CG672"/>
    </row>
  </sheetData>
  <sheetProtection/>
  <mergeCells count="44">
    <mergeCell ref="AF2:AK4"/>
    <mergeCell ref="AB16:AB19"/>
    <mergeCell ref="X19:Y19"/>
    <mergeCell ref="J13:AB13"/>
    <mergeCell ref="AB152:AB153"/>
    <mergeCell ref="B16:R16"/>
    <mergeCell ref="Z19:AA19"/>
    <mergeCell ref="J14:AB14"/>
    <mergeCell ref="N19:R19"/>
    <mergeCell ref="I19:J19"/>
    <mergeCell ref="AJ1:AK1"/>
    <mergeCell ref="D8:AK8"/>
    <mergeCell ref="D6:AK6"/>
    <mergeCell ref="D7:AK7"/>
    <mergeCell ref="B17:D19"/>
    <mergeCell ref="D9:AK9"/>
    <mergeCell ref="W2:AB2"/>
    <mergeCell ref="E17:F19"/>
    <mergeCell ref="AC16:AC18"/>
    <mergeCell ref="S16:AA18"/>
    <mergeCell ref="AB45:AB46"/>
    <mergeCell ref="J11:AK11"/>
    <mergeCell ref="AD16:AI17"/>
    <mergeCell ref="J12:AK12"/>
    <mergeCell ref="S19:T19"/>
    <mergeCell ref="AJ16:AK17"/>
    <mergeCell ref="J15:AB15"/>
    <mergeCell ref="A111:A269"/>
    <mergeCell ref="AB240:AB241"/>
    <mergeCell ref="AB232:AB233"/>
    <mergeCell ref="AB237:AB238"/>
    <mergeCell ref="AB215:AB216"/>
    <mergeCell ref="AB187:AB188"/>
    <mergeCell ref="AB176:AB177"/>
    <mergeCell ref="B326:AK329"/>
    <mergeCell ref="G17:H19"/>
    <mergeCell ref="AB205:AB206"/>
    <mergeCell ref="AB78:AB79"/>
    <mergeCell ref="AB49:AB50"/>
    <mergeCell ref="AB43:AB44"/>
    <mergeCell ref="AB212:AB213"/>
    <mergeCell ref="AB55:AB56"/>
    <mergeCell ref="L19:M19"/>
    <mergeCell ref="I17:R18"/>
  </mergeCells>
  <printOptions horizontalCentered="1"/>
  <pageMargins left="0.1968503937007874" right="0.1968503937007874" top="0.3937007874015748" bottom="0.1968503937007874" header="0.31496062992125984" footer="0.15748031496062992"/>
  <pageSetup firstPageNumber="34" useFirstPageNumber="1" fitToHeight="0" fitToWidth="1" horizontalDpi="600" verticalDpi="600" orientation="landscape" paperSize="9" scale="52" r:id="rId1"/>
  <rowBreaks count="5" manualBreakCount="5">
    <brk id="27" max="36" man="1"/>
    <brk id="42" max="36" man="1"/>
    <brk id="283" max="37" man="1"/>
    <brk id="326" max="37" man="1"/>
    <brk id="327" max="3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Пользователь</cp:lastModifiedBy>
  <cp:lastPrinted>2024-01-29T08:47:11Z</cp:lastPrinted>
  <dcterms:created xsi:type="dcterms:W3CDTF">2011-12-09T07:36:49Z</dcterms:created>
  <dcterms:modified xsi:type="dcterms:W3CDTF">2024-01-29T12:16:57Z</dcterms:modified>
  <cp:category/>
  <cp:version/>
  <cp:contentType/>
  <cp:contentStatus/>
</cp:coreProperties>
</file>